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3" sheetId="2" r:id="rId2"/>
    <sheet name="Feuil2" sheetId="3" r:id="rId3"/>
  </sheets>
  <definedNames>
    <definedName name="_xlnm.Print_Area" localSheetId="0">'Feuil1'!$A$1:$K$39</definedName>
    <definedName name="_xlnm.Print_Area" localSheetId="2">'Feuil2'!$A$1:$C$24</definedName>
    <definedName name="_xlnm.Print_Area" localSheetId="1">'Feuil3'!$A$1:$F$32</definedName>
  </definedNames>
  <calcPr fullCalcOnLoad="1"/>
</workbook>
</file>

<file path=xl/sharedStrings.xml><?xml version="1.0" encoding="utf-8"?>
<sst xmlns="http://schemas.openxmlformats.org/spreadsheetml/2006/main" count="178" uniqueCount="175">
  <si>
    <r>
      <rPr>
        <b/>
        <sz val="10"/>
        <rFont val="Arial"/>
        <family val="2"/>
      </rPr>
      <t xml:space="preserve">   Calculs numériques assistés par ordinateur pour velum d'amphithéâtres romains - René CHAMBON.                                                                                                              </t>
    </r>
    <r>
      <rPr>
        <sz val="12"/>
        <rFont val="Arial"/>
        <family val="2"/>
      </rPr>
      <t xml:space="preserve">                                                                  
      </t>
    </r>
    <r>
      <rPr>
        <b/>
        <sz val="12"/>
        <color indexed="10"/>
        <rFont val="Arial"/>
        <family val="2"/>
      </rPr>
      <t xml:space="preserve"> Arènes de Nimes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 avec galerie supérieure.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</t>
    </r>
    <r>
      <rPr>
        <b/>
        <sz val="14"/>
        <rFont val="Arial"/>
        <family val="2"/>
      </rPr>
      <t xml:space="preserve">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          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           
</t>
    </r>
  </si>
  <si>
    <t xml:space="preserve">ENTREES                  </t>
  </si>
  <si>
    <t>Valeur</t>
  </si>
  <si>
    <t>SORTIES</t>
  </si>
  <si>
    <r>
      <rPr>
        <b/>
        <sz val="10"/>
        <rFont val="Arial"/>
        <family val="2"/>
      </rPr>
      <t>D</t>
    </r>
    <r>
      <rPr>
        <vertAlign val="subscript"/>
        <sz val="10"/>
        <rFont val="Arial"/>
        <family val="2"/>
      </rPr>
      <t>1</t>
    </r>
  </si>
  <si>
    <t>Grand diamètre de calculs en m</t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</si>
  <si>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>m1</t>
    </r>
  </si>
  <si>
    <t>Dist mâts virt/grand cercle</t>
  </si>
  <si>
    <t>G</t>
  </si>
  <si>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2</t>
    </r>
  </si>
  <si>
    <t>Petit diamètre de calculs en m</t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</si>
  <si>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>m2</t>
    </r>
  </si>
  <si>
    <t>Dist mâts virt/petit cercle</t>
  </si>
  <si>
    <t>Z1</t>
  </si>
  <si>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1</t>
    </r>
  </si>
  <si>
    <r>
      <rPr>
        <sz val="10"/>
        <rFont val="Arial"/>
        <family val="2"/>
      </rPr>
      <t xml:space="preserve">Nb de mâts sur </t>
    </r>
    <r>
      <rPr>
        <b/>
        <sz val="10"/>
        <rFont val="Arial"/>
        <family val="2"/>
      </rP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ci dessus</t>
    </r>
  </si>
  <si>
    <r>
      <rPr>
        <b/>
        <sz val="10"/>
        <rFont val="Arial"/>
        <family val="2"/>
      </rPr>
      <t>l</t>
    </r>
    <r>
      <rPr>
        <vertAlign val="subscript"/>
        <sz val="10"/>
        <rFont val="Arial"/>
        <family val="2"/>
      </rPr>
      <t>t</t>
    </r>
  </si>
  <si>
    <t>Largeur utile de toile en m</t>
  </si>
  <si>
    <t>Z2</t>
  </si>
  <si>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2</t>
    </r>
  </si>
  <si>
    <r>
      <rPr>
        <sz val="10"/>
        <rFont val="Arial"/>
        <family val="2"/>
      </rPr>
      <t xml:space="preserve">Nb de mâts sur </t>
    </r>
    <r>
      <rPr>
        <b/>
        <sz val="10"/>
        <rFont val="Arial"/>
        <family val="2"/>
      </rP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ci dessus</t>
    </r>
  </si>
  <si>
    <r>
      <rPr>
        <b/>
        <sz val="10"/>
        <rFont val="Arial"/>
        <family val="2"/>
      </rPr>
      <t>m</t>
    </r>
    <r>
      <rPr>
        <vertAlign val="subscript"/>
        <sz val="10"/>
        <rFont val="Arial"/>
        <family val="2"/>
      </rPr>
      <t>f</t>
    </r>
  </si>
  <si>
    <t>masse du filin en Kg/m</t>
  </si>
  <si>
    <t>Z3</t>
  </si>
  <si>
    <r>
      <rPr>
        <b/>
        <sz val="10"/>
        <rFont val="Arial"/>
        <family val="2"/>
      </rPr>
      <t>m</t>
    </r>
    <r>
      <rPr>
        <b/>
        <vertAlign val="subscript"/>
        <sz val="10"/>
        <rFont val="Arial"/>
        <family val="2"/>
      </rPr>
      <t>t</t>
    </r>
  </si>
  <si>
    <t>Masse de la toile en Kg/m2</t>
  </si>
  <si>
    <r>
      <rPr>
        <b/>
        <sz val="10"/>
        <rFont val="Arial"/>
        <family val="2"/>
      </rPr>
      <t>X</t>
    </r>
    <r>
      <rPr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=X</t>
    </r>
    <r>
      <rPr>
        <vertAlign val="subscript"/>
        <sz val="10"/>
        <rFont val="Arial"/>
        <family val="2"/>
      </rPr>
      <t>B</t>
    </r>
  </si>
  <si>
    <t>Effort horiz en A et B  Kgf</t>
  </si>
  <si>
    <t>Z4</t>
  </si>
  <si>
    <t>L</t>
  </si>
  <si>
    <t>Largeur projetée de la toile</t>
  </si>
  <si>
    <r>
      <rPr>
        <b/>
        <sz val="10"/>
        <rFont val="Arial"/>
        <family val="2"/>
      </rPr>
      <t>Y</t>
    </r>
    <r>
      <rPr>
        <vertAlign val="subscript"/>
        <sz val="10"/>
        <rFont val="Arial"/>
        <family val="2"/>
      </rPr>
      <t>A</t>
    </r>
  </si>
  <si>
    <t>Effort vertical en A en Kgf</t>
  </si>
  <si>
    <t>α</t>
  </si>
  <si>
    <t>a</t>
  </si>
  <si>
    <t>dist en m de toile à anneau central</t>
  </si>
  <si>
    <r>
      <rPr>
        <b/>
        <sz val="10"/>
        <rFont val="Arial"/>
        <family val="2"/>
      </rPr>
      <t>Y</t>
    </r>
    <r>
      <rPr>
        <vertAlign val="subscript"/>
        <sz val="10"/>
        <rFont val="Arial"/>
        <family val="2"/>
      </rPr>
      <t>B</t>
    </r>
  </si>
  <si>
    <t>Effort vertical en B en Kgf</t>
  </si>
  <si>
    <t>β</t>
  </si>
  <si>
    <t xml:space="preserve">p </t>
  </si>
  <si>
    <t>Pente au point bas de filin dans toile</t>
  </si>
  <si>
    <r>
      <rPr>
        <b/>
        <sz val="14"/>
        <rFont val="Arial"/>
        <family val="2"/>
      </rPr>
      <t>ø</t>
    </r>
    <r>
      <rPr>
        <vertAlign val="subscript"/>
        <sz val="10"/>
        <rFont val="Arial"/>
        <family val="2"/>
      </rPr>
      <t xml:space="preserve">f </t>
    </r>
  </si>
  <si>
    <t>Diam filin dans toile mm</t>
  </si>
  <si>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f</t>
    </r>
  </si>
  <si>
    <t>Dénivelé en m de filin dans toile</t>
  </si>
  <si>
    <r>
      <rPr>
        <b/>
        <sz val="14"/>
        <rFont val="Arial"/>
        <family val="2"/>
      </rPr>
      <t>ø</t>
    </r>
    <r>
      <rPr>
        <vertAlign val="subscript"/>
        <sz val="10"/>
        <rFont val="Arial"/>
        <family val="2"/>
      </rPr>
      <t>d</t>
    </r>
  </si>
  <si>
    <t>Diam câble de drisse mm</t>
  </si>
  <si>
    <t>A</t>
  </si>
  <si>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d</t>
    </r>
  </si>
  <si>
    <t>Dist en m de haut de toile à drisse</t>
  </si>
  <si>
    <t>L'</t>
  </si>
  <si>
    <t>Long projetée de la drisse</t>
  </si>
  <si>
    <t>B</t>
  </si>
  <si>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br</t>
    </r>
  </si>
  <si>
    <t>Dist en m de haut de toile à bras</t>
  </si>
  <si>
    <r>
      <rPr>
        <b/>
        <sz val="10"/>
        <rFont val="Arial"/>
        <family val="2"/>
      </rPr>
      <t>H</t>
    </r>
    <r>
      <rPr>
        <vertAlign val="subscript"/>
        <sz val="10"/>
        <rFont val="Arial"/>
        <family val="2"/>
      </rPr>
      <t>d</t>
    </r>
  </si>
  <si>
    <t>Dénivelé de drisse en m</t>
  </si>
  <si>
    <t>C</t>
  </si>
  <si>
    <t>R</t>
  </si>
  <si>
    <r>
      <rPr>
        <sz val="10"/>
        <rFont val="Arial"/>
        <family val="2"/>
      </rPr>
      <t>Résit rupt Kg/mm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tous les câbles</t>
    </r>
  </si>
  <si>
    <r>
      <rPr>
        <b/>
        <sz val="10"/>
        <rFont val="Arial"/>
        <family val="2"/>
      </rPr>
      <t>m</t>
    </r>
    <r>
      <rPr>
        <vertAlign val="subscript"/>
        <sz val="10"/>
        <rFont val="Arial"/>
        <family val="2"/>
      </rPr>
      <t>d</t>
    </r>
  </si>
  <si>
    <t>masse cable drisse Kg/m</t>
  </si>
  <si>
    <r>
      <rPr>
        <b/>
        <sz val="12"/>
        <rFont val="Arial"/>
        <family val="2"/>
      </rPr>
      <t>∆</t>
    </r>
    <r>
      <rPr>
        <sz val="10"/>
        <rFont val="Arial"/>
        <family val="2"/>
      </rPr>
      <t>1/2</t>
    </r>
  </si>
  <si>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=X</t>
    </r>
    <r>
      <rPr>
        <b/>
        <vertAlign val="subscript"/>
        <sz val="10"/>
        <rFont val="Arial"/>
        <family val="2"/>
      </rPr>
      <t>D</t>
    </r>
  </si>
  <si>
    <t>Effort horiz en C et D  Kgf</t>
  </si>
  <si>
    <t>A1</t>
  </si>
  <si>
    <t>d</t>
  </si>
  <si>
    <r>
      <rPr>
        <sz val="10"/>
        <rFont val="Arial"/>
        <family val="2"/>
      </rPr>
      <t>Densité Kg/dcm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tous les câbles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</si>
  <si>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D</t>
    </r>
  </si>
  <si>
    <t>Effort vertical en D en Kgf</t>
  </si>
  <si>
    <t>B1</t>
  </si>
  <si>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f</t>
    </r>
  </si>
  <si>
    <t>Coef sécu filin dans toile</t>
  </si>
  <si>
    <r>
      <rPr>
        <b/>
        <sz val="10"/>
        <rFont val="Arial"/>
        <family val="2"/>
      </rPr>
      <t>Y</t>
    </r>
    <r>
      <rPr>
        <vertAlign val="subscript"/>
        <sz val="10"/>
        <rFont val="Arial"/>
        <family val="2"/>
      </rPr>
      <t>C</t>
    </r>
  </si>
  <si>
    <t>Effort vertical en C en Kgf</t>
  </si>
  <si>
    <t>C1</t>
  </si>
  <si>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a</t>
    </r>
  </si>
  <si>
    <t>Coef séc câble d'anneau toile tendue</t>
  </si>
  <si>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=X</t>
    </r>
    <r>
      <rPr>
        <b/>
        <vertAlign val="subscript"/>
        <sz val="10"/>
        <rFont val="Arial"/>
        <family val="2"/>
      </rPr>
      <t>F</t>
    </r>
  </si>
  <si>
    <t>Eff horiz en E et Fen Kgf</t>
  </si>
  <si>
    <r>
      <rPr>
        <b/>
        <sz val="12"/>
        <rFont val="Arial"/>
        <family val="2"/>
      </rPr>
      <t>∆'</t>
    </r>
    <r>
      <rPr>
        <sz val="10"/>
        <rFont val="Arial"/>
        <family val="2"/>
      </rPr>
      <t>1/2</t>
    </r>
  </si>
  <si>
    <t>z</t>
  </si>
  <si>
    <t>Rapport entre diam drisse et diam filin</t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</si>
  <si>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F</t>
    </r>
  </si>
  <si>
    <t>Effort vertical en F en Kgf</t>
  </si>
  <si>
    <t>Ver 2</t>
  </si>
  <si>
    <r>
      <rPr>
        <b/>
        <sz val="10"/>
        <rFont val="Arial"/>
        <family val="2"/>
      </rPr>
      <t>m</t>
    </r>
    <r>
      <rPr>
        <b/>
        <vertAlign val="subscript"/>
        <sz val="10"/>
        <rFont val="Arial"/>
        <family val="2"/>
      </rPr>
      <t>p</t>
    </r>
  </si>
  <si>
    <t xml:space="preserve">Masse en Kg ens poulie de drisse </t>
  </si>
  <si>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br</t>
    </r>
  </si>
  <si>
    <t>Coef séc bras toile tendue</t>
  </si>
  <si>
    <t>Ver 3</t>
  </si>
  <si>
    <t>y</t>
  </si>
  <si>
    <t>Rapt entre diam câble bras et drisse</t>
  </si>
  <si>
    <r>
      <rPr>
        <b/>
        <sz val="14"/>
        <rFont val="Arial"/>
        <family val="2"/>
      </rPr>
      <t>ø</t>
    </r>
    <r>
      <rPr>
        <vertAlign val="subscript"/>
        <sz val="12"/>
        <rFont val="Arial"/>
        <family val="2"/>
      </rPr>
      <t>a</t>
    </r>
  </si>
  <si>
    <t>Diam câble d'anneau mm</t>
  </si>
  <si>
    <t>Ver4</t>
  </si>
  <si>
    <t>w</t>
  </si>
  <si>
    <r>
      <rPr>
        <sz val="10"/>
        <rFont val="Arial"/>
        <family val="2"/>
      </rPr>
      <t>Rapport entre X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et X</t>
    </r>
    <r>
      <rPr>
        <vertAlign val="subscript"/>
        <sz val="10"/>
        <rFont val="Arial"/>
        <family val="2"/>
      </rPr>
      <t>D</t>
    </r>
  </si>
  <si>
    <r>
      <rPr>
        <b/>
        <sz val="10"/>
        <rFont val="Arial"/>
        <family val="2"/>
      </rP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1</t>
    </r>
  </si>
  <si>
    <t>M anneau entr bras gr arc</t>
  </si>
  <si>
    <t>Ver 5</t>
  </si>
  <si>
    <t>l+</t>
  </si>
  <si>
    <t>Supplément larg toile assemblage  m</t>
  </si>
  <si>
    <r>
      <rPr>
        <b/>
        <sz val="10"/>
        <rFont val="Arial"/>
        <family val="2"/>
      </rP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2</t>
    </r>
  </si>
  <si>
    <t>M anneau entr bras pet arc</t>
  </si>
  <si>
    <t>Ver 6</t>
  </si>
  <si>
    <t>N</t>
  </si>
  <si>
    <t>Nb de mâts de l'amphithéâtre étudié</t>
  </si>
  <si>
    <r>
      <rPr>
        <b/>
        <sz val="10"/>
        <rFont val="Arial"/>
        <family val="2"/>
      </rPr>
      <t>M</t>
    </r>
    <r>
      <rPr>
        <vertAlign val="subscript"/>
        <sz val="10"/>
        <rFont val="Arial"/>
        <family val="2"/>
      </rPr>
      <t>add</t>
    </r>
    <r>
      <rPr>
        <sz val="10"/>
        <rFont val="Arial"/>
        <family val="2"/>
      </rPr>
      <t>1</t>
    </r>
  </si>
  <si>
    <t>Masse additive grand arc</t>
  </si>
  <si>
    <t>Ver 7</t>
  </si>
  <si>
    <r>
      <rPr>
        <b/>
        <sz val="10"/>
        <rFont val="Arial"/>
        <family val="2"/>
      </rPr>
      <t>M</t>
    </r>
    <r>
      <rPr>
        <vertAlign val="subscript"/>
        <sz val="10"/>
        <rFont val="Arial"/>
        <family val="2"/>
      </rPr>
      <t>add</t>
    </r>
    <r>
      <rPr>
        <sz val="10"/>
        <rFont val="Arial"/>
        <family val="2"/>
      </rPr>
      <t>2</t>
    </r>
  </si>
  <si>
    <t>Masse additive petit arc</t>
  </si>
  <si>
    <t>Ver 8</t>
  </si>
  <si>
    <r>
      <rPr>
        <b/>
        <sz val="14"/>
        <rFont val="Arial"/>
        <family val="2"/>
      </rPr>
      <t>ø</t>
    </r>
    <r>
      <rPr>
        <vertAlign val="subscript"/>
        <sz val="12"/>
        <rFont val="Arial"/>
        <family val="2"/>
      </rPr>
      <t>tr</t>
    </r>
  </si>
  <si>
    <t>Diamètre de treuil en mm</t>
  </si>
  <si>
    <r>
      <rPr>
        <b/>
        <sz val="14"/>
        <rFont val="Arial"/>
        <family val="2"/>
      </rPr>
      <t>ø</t>
    </r>
    <r>
      <rPr>
        <vertAlign val="subscript"/>
        <sz val="10"/>
        <rFont val="Arial"/>
        <family val="2"/>
      </rPr>
      <t>br</t>
    </r>
  </si>
  <si>
    <t>Diamètre bras en mm</t>
  </si>
  <si>
    <t>Ver 10</t>
  </si>
  <si>
    <t>E</t>
  </si>
  <si>
    <t>Mod elast Kg/mm2 des bois de mâts</t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</si>
  <si>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'</t>
    </r>
  </si>
  <si>
    <t>Eff vert sur mât toile tendue</t>
  </si>
  <si>
    <t>Ver11</t>
  </si>
  <si>
    <r>
      <rPr>
        <b/>
        <sz val="10"/>
        <rFont val="Arial"/>
        <family val="2"/>
      </rPr>
      <t>R</t>
    </r>
    <r>
      <rPr>
        <vertAlign val="subscript"/>
        <sz val="10"/>
        <rFont val="Arial"/>
        <family val="2"/>
      </rPr>
      <t>m</t>
    </r>
  </si>
  <si>
    <t>Résist du bois des mâts Kgf/mm2</t>
  </si>
  <si>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'=X</t>
    </r>
    <r>
      <rPr>
        <b/>
        <vertAlign val="subscript"/>
        <sz val="10"/>
        <rFont val="Arial"/>
        <family val="2"/>
      </rPr>
      <t>E</t>
    </r>
  </si>
  <si>
    <t>Eff hor sur mât toile tendue</t>
  </si>
  <si>
    <t>Ver15</t>
  </si>
  <si>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r m</t>
    </r>
  </si>
  <si>
    <t>Coef sécu souhaité pour mâts</t>
  </si>
  <si>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'</t>
    </r>
  </si>
  <si>
    <t>Coef séc ann toile repliée</t>
  </si>
  <si>
    <r>
      <rPr>
        <b/>
        <sz val="10"/>
        <rFont val="Arial"/>
        <family val="2"/>
      </rPr>
      <t>R</t>
    </r>
    <r>
      <rPr>
        <sz val="10"/>
        <rFont val="Arial"/>
        <family val="2"/>
      </rPr>
      <t>T</t>
    </r>
  </si>
  <si>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br</t>
    </r>
    <r>
      <rPr>
        <b/>
        <sz val="10"/>
        <rFont val="Arial"/>
        <family val="2"/>
      </rPr>
      <t>'</t>
    </r>
  </si>
  <si>
    <t>Coef séc mini du bras</t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</si>
  <si>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>T1</t>
    </r>
  </si>
  <si>
    <r>
      <rPr>
        <b/>
        <sz val="14"/>
        <rFont val="Arial"/>
        <family val="2"/>
      </rPr>
      <t>ø</t>
    </r>
    <r>
      <rPr>
        <sz val="10"/>
        <rFont val="Arial"/>
        <family val="2"/>
      </rPr>
      <t>m</t>
    </r>
  </si>
  <si>
    <t>Diamètre mât en mm</t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</si>
  <si>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>T2</t>
    </r>
  </si>
  <si>
    <r>
      <rPr>
        <b/>
        <sz val="10"/>
        <rFont val="Arial"/>
        <family val="2"/>
      </rPr>
      <t>L</t>
    </r>
    <r>
      <rPr>
        <vertAlign val="subscript"/>
        <sz val="10"/>
        <rFont val="Arial"/>
        <family val="2"/>
      </rPr>
      <t>t</t>
    </r>
  </si>
  <si>
    <t>Longueur de rectangle de toile</t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</si>
  <si>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a</t>
    </r>
  </si>
  <si>
    <t>Long totale d'anneau m</t>
  </si>
  <si>
    <r>
      <rPr>
        <sz val="14"/>
        <rFont val="Arial"/>
        <family val="2"/>
      </rPr>
      <t>ø</t>
    </r>
    <r>
      <rPr>
        <vertAlign val="subscript"/>
        <sz val="12"/>
        <rFont val="Arial"/>
        <family val="2"/>
      </rPr>
      <t xml:space="preserve">f </t>
    </r>
  </si>
  <si>
    <r>
      <rPr>
        <b/>
        <sz val="10"/>
        <rFont val="Arial"/>
        <family val="2"/>
      </rPr>
      <t>L</t>
    </r>
    <r>
      <rPr>
        <vertAlign val="subscript"/>
        <sz val="10"/>
        <rFont val="Arial"/>
        <family val="2"/>
      </rPr>
      <t>d</t>
    </r>
  </si>
  <si>
    <t>Longueur de drisse</t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</si>
  <si>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a</t>
    </r>
  </si>
  <si>
    <t>Masse totale anneau Kg</t>
  </si>
  <si>
    <r>
      <rPr>
        <sz val="14"/>
        <rFont val="Arial"/>
        <family val="2"/>
      </rPr>
      <t>ø</t>
    </r>
    <r>
      <rPr>
        <vertAlign val="subscript"/>
        <sz val="12"/>
        <rFont val="Arial"/>
        <family val="2"/>
      </rPr>
      <t>d</t>
    </r>
    <r>
      <rPr>
        <sz val="14"/>
        <rFont val="Arial"/>
        <family val="2"/>
      </rPr>
      <t xml:space="preserve"> </t>
    </r>
  </si>
  <si>
    <r>
      <rPr>
        <b/>
        <sz val="10"/>
        <rFont val="Arial"/>
        <family val="2"/>
      </rPr>
      <t>L</t>
    </r>
    <r>
      <rPr>
        <vertAlign val="subscript"/>
        <sz val="10"/>
        <rFont val="Arial"/>
        <family val="2"/>
      </rPr>
      <t>b</t>
    </r>
  </si>
  <si>
    <t>Longueur de bras</t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</si>
  <si>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>TV</t>
    </r>
  </si>
  <si>
    <t>Masse totale du velum Kg</t>
  </si>
  <si>
    <r>
      <rPr>
        <b/>
        <sz val="14"/>
        <rFont val="Arial"/>
        <family val="2"/>
      </rPr>
      <t>ø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</si>
  <si>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>a</t>
    </r>
    <r>
      <rPr>
        <b/>
        <sz val="10"/>
        <rFont val="Arial"/>
        <family val="2"/>
      </rPr>
      <t>1</t>
    </r>
  </si>
  <si>
    <t>Plus grande larg entre bras sur anneau</t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</si>
  <si>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>TT</t>
    </r>
  </si>
  <si>
    <t>Masse totale de toile Kg</t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</si>
  <si>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>a</t>
    </r>
    <r>
      <rPr>
        <b/>
        <sz val="10"/>
        <rFont val="Arial"/>
        <family val="2"/>
      </rPr>
      <t>2</t>
    </r>
  </si>
  <si>
    <t>Plus petite larg entre bras sur anneau</t>
  </si>
  <si>
    <t>Sc</t>
  </si>
  <si>
    <r>
      <rPr>
        <sz val="10"/>
        <rFont val="Arial"/>
        <family val="2"/>
      </rPr>
      <t>Surface couverte en m</t>
    </r>
    <r>
      <rPr>
        <vertAlign val="superscript"/>
        <sz val="10"/>
        <rFont val="Arial"/>
        <family val="2"/>
      </rPr>
      <t>2</t>
    </r>
  </si>
  <si>
    <t>Su</t>
  </si>
  <si>
    <r>
      <rPr>
        <b/>
        <sz val="10"/>
        <rFont val="Arial"/>
        <family val="2"/>
      </rPr>
      <t>T</t>
    </r>
    <r>
      <rPr>
        <vertAlign val="subscript"/>
        <sz val="10"/>
        <rFont val="Arial"/>
        <family val="2"/>
      </rPr>
      <t>a</t>
    </r>
  </si>
  <si>
    <t>Tension de câble d'anneau en Kgf</t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</si>
  <si>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>d</t>
    </r>
    <r>
      <rPr>
        <b/>
        <sz val="10"/>
        <rFont val="Arial"/>
        <family val="2"/>
      </rPr>
      <t>C</t>
    </r>
  </si>
  <si>
    <t>Effort de manœuvre Kgf</t>
  </si>
  <si>
    <r>
      <rPr>
        <b/>
        <sz val="10"/>
        <rFont val="Arial"/>
        <family val="2"/>
      </rPr>
      <t>M/</t>
    </r>
    <r>
      <rPr>
        <sz val="10"/>
        <rFont val="Arial"/>
        <family val="2"/>
      </rPr>
      <t>m2</t>
    </r>
  </si>
  <si>
    <r>
      <rPr>
        <b/>
        <sz val="10"/>
        <rFont val="Arial"/>
        <family val="2"/>
      </rPr>
      <t>m</t>
    </r>
    <r>
      <rPr>
        <vertAlign val="subscript"/>
        <sz val="10"/>
        <rFont val="Arial"/>
        <family val="2"/>
      </rPr>
      <t>a</t>
    </r>
  </si>
  <si>
    <t>Masse câble anneau Kg/m</t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</si>
  <si>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d</t>
    </r>
  </si>
  <si>
    <t>Long totale câble de drisse</t>
  </si>
  <si>
    <r>
      <rPr>
        <b/>
        <sz val="10"/>
        <rFont val="Arial"/>
        <family val="2"/>
      </rPr>
      <t>L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b</t>
    </r>
  </si>
  <si>
    <t>Long totale câble de bras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</si>
</sst>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"/>
    <numFmt numFmtId="167" formatCode="0.000"/>
    <numFmt numFmtId="168" formatCode="0.0000"/>
    <numFmt numFmtId="169" formatCode="0.0"/>
    <numFmt numFmtId="170" formatCode="0.000000"/>
    <numFmt numFmtId="171" formatCode="#,##0.00&quot; €&quot;;[RED]\-#,##0.00&quot; €&quot;"/>
  </numFmts>
  <fonts count="1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bscript"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1" fillId="0" borderId="1" xfId="0" applyFont="1" applyBorder="1" applyAlignment="1">
      <alignment horizontal="left" vertical="distributed" wrapText="1" indent="1"/>
    </xf>
    <xf numFmtId="164" fontId="7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left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shrinkToFit="1"/>
    </xf>
    <xf numFmtId="165" fontId="0" fillId="0" borderId="0" xfId="0" applyNumberFormat="1" applyAlignment="1">
      <alignment/>
    </xf>
    <xf numFmtId="170" fontId="0" fillId="0" borderId="0" xfId="0" applyNumberFormat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0" fillId="0" borderId="11" xfId="0" applyFont="1" applyBorder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6" xfId="0" applyFont="1" applyBorder="1" applyAlignment="1">
      <alignment/>
    </xf>
    <xf numFmtId="164" fontId="6" fillId="0" borderId="2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71" fontId="1" fillId="0" borderId="7" xfId="0" applyNumberFormat="1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/>
    </xf>
    <xf numFmtId="169" fontId="0" fillId="0" borderId="8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4" fontId="0" fillId="0" borderId="16" xfId="0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18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20" xfId="0" applyBorder="1" applyAlignment="1">
      <alignment horizontal="center" vertical="center"/>
    </xf>
    <xf numFmtId="164" fontId="1" fillId="0" borderId="21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5" fillId="0" borderId="24" xfId="0" applyFont="1" applyBorder="1" applyAlignment="1">
      <alignment horizontal="center" vertical="center"/>
    </xf>
    <xf numFmtId="164" fontId="0" fillId="0" borderId="25" xfId="0" applyBorder="1" applyAlignment="1">
      <alignment/>
    </xf>
    <xf numFmtId="164" fontId="1" fillId="0" borderId="24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0" xfId="0" applyNumberFormat="1" applyAlignment="1">
      <alignment/>
    </xf>
    <xf numFmtId="164" fontId="1" fillId="0" borderId="26" xfId="0" applyFont="1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164" fontId="0" fillId="0" borderId="6" xfId="0" applyBorder="1" applyAlignment="1">
      <alignment horizontal="center" vertical="center" wrapText="1" shrinkToFit="1"/>
    </xf>
    <xf numFmtId="165" fontId="0" fillId="0" borderId="8" xfId="0" applyNumberFormat="1" applyBorder="1" applyAlignment="1">
      <alignment horizontal="center" vertical="center" shrinkToFit="1"/>
    </xf>
    <xf numFmtId="167" fontId="0" fillId="0" borderId="8" xfId="0" applyNumberFormat="1" applyBorder="1" applyAlignment="1">
      <alignment horizontal="center" vertical="center"/>
    </xf>
    <xf numFmtId="164" fontId="0" fillId="0" borderId="6" xfId="0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1" fillId="0" borderId="30" xfId="0" applyFont="1" applyBorder="1" applyAlignment="1">
      <alignment horizontal="center" vertical="center"/>
    </xf>
    <xf numFmtId="167" fontId="1" fillId="0" borderId="24" xfId="0" applyNumberFormat="1" applyFont="1" applyBorder="1" applyAlignment="1">
      <alignment horizontal="center" vertical="center"/>
    </xf>
    <xf numFmtId="164" fontId="0" fillId="0" borderId="31" xfId="0" applyBorder="1" applyAlignment="1">
      <alignment/>
    </xf>
    <xf numFmtId="164" fontId="1" fillId="0" borderId="26" xfId="0" applyFont="1" applyBorder="1" applyAlignment="1">
      <alignment horizontal="center" vertical="center" wrapText="1" shrinkToFit="1"/>
    </xf>
    <xf numFmtId="164" fontId="0" fillId="0" borderId="27" xfId="0" applyBorder="1" applyAlignment="1">
      <alignment horizontal="left" vertical="center" wrapText="1" shrinkToFit="1"/>
    </xf>
    <xf numFmtId="167" fontId="0" fillId="0" borderId="28" xfId="0" applyNumberFormat="1" applyBorder="1" applyAlignment="1">
      <alignment horizontal="center" vertical="center" wrapText="1" shrinkToFit="1"/>
    </xf>
    <xf numFmtId="164" fontId="0" fillId="0" borderId="0" xfId="0" applyAlignment="1">
      <alignment wrapText="1"/>
    </xf>
    <xf numFmtId="164" fontId="1" fillId="0" borderId="26" xfId="0" applyFont="1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4" fontId="0" fillId="0" borderId="6" xfId="0" applyBorder="1" applyAlignment="1">
      <alignment horizontal="left" vertical="center" wrapText="1" shrinkToFit="1"/>
    </xf>
    <xf numFmtId="169" fontId="0" fillId="0" borderId="8" xfId="0" applyNumberFormat="1" applyBorder="1" applyAlignment="1">
      <alignment horizontal="center" vertical="center" wrapText="1" shrinkToFit="1"/>
    </xf>
    <xf numFmtId="164" fontId="0" fillId="0" borderId="6" xfId="0" applyBorder="1" applyAlignment="1">
      <alignment horizontal="left" vertical="center"/>
    </xf>
    <xf numFmtId="164" fontId="0" fillId="0" borderId="6" xfId="0" applyBorder="1" applyAlignment="1">
      <alignment vertical="center" wrapText="1" shrinkToFi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 wrapText="1" shrinkToFit="1"/>
    </xf>
    <xf numFmtId="166" fontId="0" fillId="0" borderId="8" xfId="0" applyNumberFormat="1" applyBorder="1" applyAlignment="1">
      <alignment horizontal="center" vertical="center" wrapText="1" shrinkToFit="1"/>
    </xf>
    <xf numFmtId="164" fontId="5" fillId="0" borderId="2" xfId="0" applyFont="1" applyBorder="1" applyAlignment="1">
      <alignment horizontal="center" vertical="center" shrinkToFit="1"/>
    </xf>
    <xf numFmtId="169" fontId="0" fillId="0" borderId="6" xfId="0" applyNumberFormat="1" applyFont="1" applyBorder="1" applyAlignment="1">
      <alignment horizontal="left" vertical="center" wrapText="1" shrinkToFit="1"/>
    </xf>
    <xf numFmtId="169" fontId="0" fillId="0" borderId="6" xfId="0" applyNumberFormat="1" applyBorder="1" applyAlignment="1">
      <alignment horizontal="left" vertical="center" wrapText="1" shrinkToFit="1"/>
    </xf>
    <xf numFmtId="164" fontId="1" fillId="0" borderId="18" xfId="0" applyFont="1" applyBorder="1" applyAlignment="1">
      <alignment horizontal="center" vertical="center"/>
    </xf>
    <xf numFmtId="169" fontId="0" fillId="0" borderId="19" xfId="0" applyNumberFormat="1" applyBorder="1" applyAlignment="1">
      <alignment horizontal="left" vertical="center" wrapText="1"/>
    </xf>
    <xf numFmtId="165" fontId="0" fillId="0" borderId="23" xfId="0" applyNumberFormat="1" applyBorder="1" applyAlignment="1">
      <alignment horizontal="center" vertical="center" wrapText="1"/>
    </xf>
    <xf numFmtId="164" fontId="0" fillId="0" borderId="0" xfId="0" applyAlignment="1">
      <alignment/>
    </xf>
    <xf numFmtId="164" fontId="1" fillId="0" borderId="2" xfId="0" applyFont="1" applyBorder="1" applyAlignment="1">
      <alignment horizontal="center" vertical="top"/>
    </xf>
    <xf numFmtId="164" fontId="0" fillId="0" borderId="7" xfId="0" applyBorder="1" applyAlignment="1">
      <alignment horizontal="center" vertical="top"/>
    </xf>
    <xf numFmtId="164" fontId="1" fillId="0" borderId="27" xfId="0" applyFont="1" applyBorder="1" applyAlignment="1">
      <alignment horizontal="center" vertical="center"/>
    </xf>
    <xf numFmtId="169" fontId="0" fillId="0" borderId="27" xfId="0" applyNumberFormat="1" applyFont="1" applyBorder="1" applyAlignment="1">
      <alignment horizontal="left" vertical="center" wrapText="1"/>
    </xf>
    <xf numFmtId="169" fontId="0" fillId="0" borderId="27" xfId="0" applyNumberFormat="1" applyBorder="1" applyAlignment="1">
      <alignment horizontal="center" vertical="center" wrapText="1"/>
    </xf>
    <xf numFmtId="164" fontId="0" fillId="0" borderId="10" xfId="0" applyBorder="1" applyAlignment="1">
      <alignment horizontal="center" vertical="top"/>
    </xf>
    <xf numFmtId="166" fontId="0" fillId="0" borderId="32" xfId="0" applyNumberFormat="1" applyBorder="1" applyAlignment="1">
      <alignment horizontal="center" vertical="center"/>
    </xf>
    <xf numFmtId="164" fontId="1" fillId="0" borderId="33" xfId="0" applyFont="1" applyBorder="1" applyAlignment="1">
      <alignment horizontal="center" vertical="center"/>
    </xf>
    <xf numFmtId="164" fontId="0" fillId="0" borderId="34" xfId="0" applyBorder="1" applyAlignment="1">
      <alignment horizontal="left" vertical="center" wrapText="1"/>
    </xf>
    <xf numFmtId="166" fontId="0" fillId="0" borderId="35" xfId="0" applyNumberForma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 wrapText="1"/>
    </xf>
    <xf numFmtId="164" fontId="0" fillId="0" borderId="37" xfId="0" applyBorder="1" applyAlignment="1">
      <alignment/>
    </xf>
    <xf numFmtId="164" fontId="0" fillId="0" borderId="37" xfId="0" applyBorder="1" applyAlignment="1">
      <alignment horizontal="center" vertical="center"/>
    </xf>
    <xf numFmtId="164" fontId="0" fillId="0" borderId="2" xfId="0" applyBorder="1" applyAlignment="1">
      <alignment horizontal="left" vertical="center" wrapText="1"/>
    </xf>
    <xf numFmtId="164" fontId="0" fillId="0" borderId="2" xfId="0" applyFont="1" applyBorder="1" applyAlignment="1">
      <alignment horizontal="left" vertical="top" wrapText="1"/>
    </xf>
    <xf numFmtId="164" fontId="0" fillId="0" borderId="6" xfId="0" applyBorder="1" applyAlignment="1">
      <alignment horizontal="left" vertical="top" wrapText="1"/>
    </xf>
    <xf numFmtId="164" fontId="0" fillId="0" borderId="38" xfId="0" applyBorder="1" applyAlignment="1">
      <alignment horizontal="center" vertical="center"/>
    </xf>
    <xf numFmtId="164" fontId="0" fillId="0" borderId="39" xfId="0" applyBorder="1" applyAlignment="1">
      <alignment horizontal="left" vertical="center"/>
    </xf>
    <xf numFmtId="164" fontId="0" fillId="0" borderId="40" xfId="0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4" fontId="0" fillId="0" borderId="39" xfId="0" applyBorder="1" applyAlignment="1">
      <alignment horizontal="left" vertical="center" wrapText="1"/>
    </xf>
    <xf numFmtId="166" fontId="0" fillId="0" borderId="4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C25" sqref="C25"/>
    </sheetView>
  </sheetViews>
  <sheetFormatPr defaultColWidth="10.28125" defaultRowHeight="12.75"/>
  <cols>
    <col min="1" max="1" width="4.7109375" style="0" customWidth="1"/>
    <col min="2" max="2" width="32.7109375" style="0" customWidth="1"/>
    <col min="3" max="3" width="6.8515625" style="0" customWidth="1"/>
    <col min="4" max="4" width="6.7109375" style="0" customWidth="1"/>
    <col min="5" max="6" width="11.421875" style="0" hidden="1" customWidth="1"/>
    <col min="7" max="7" width="23.421875" style="0" customWidth="1"/>
    <col min="8" max="8" width="6.7109375" style="0" customWidth="1"/>
    <col min="9" max="9" width="5.7109375" style="0" customWidth="1"/>
    <col min="10" max="10" width="0.85546875" style="0" customWidth="1"/>
    <col min="11" max="11" width="8.7109375" style="0" customWidth="1"/>
    <col min="12" max="12" width="5.7109375" style="0" customWidth="1"/>
    <col min="13" max="13" width="19.140625" style="0" customWidth="1"/>
    <col min="14" max="14" width="9.7109375" style="0" customWidth="1"/>
    <col min="15" max="15" width="12.421875" style="0" customWidth="1"/>
    <col min="16" max="16384" width="11.00390625" style="0" customWidth="1"/>
  </cols>
  <sheetData>
    <row r="1" spans="1:11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22.5" customHeight="1">
      <c r="A2" s="2" t="s">
        <v>1</v>
      </c>
      <c r="B2" s="2"/>
      <c r="C2" s="3" t="s">
        <v>2</v>
      </c>
      <c r="D2" s="4" t="s">
        <v>3</v>
      </c>
      <c r="E2" s="4"/>
      <c r="F2" s="4"/>
      <c r="G2" s="4"/>
      <c r="H2" s="5" t="s">
        <v>2</v>
      </c>
      <c r="I2" s="6"/>
      <c r="J2" s="6"/>
      <c r="K2" s="6"/>
      <c r="L2" s="7"/>
      <c r="M2" s="7"/>
      <c r="N2" s="8"/>
    </row>
    <row r="3" spans="1:14" ht="19.5" customHeight="1">
      <c r="A3" s="9" t="s">
        <v>4</v>
      </c>
      <c r="B3" s="10" t="s">
        <v>5</v>
      </c>
      <c r="C3" s="11">
        <v>167</v>
      </c>
      <c r="D3" s="12" t="s">
        <v>6</v>
      </c>
      <c r="E3" s="13"/>
      <c r="F3" s="13"/>
      <c r="G3" s="14" t="s">
        <v>7</v>
      </c>
      <c r="H3" s="15">
        <f>C3*(SIN((PI())/C5))</f>
        <v>3.085977128174694</v>
      </c>
      <c r="I3" s="16" t="s">
        <v>8</v>
      </c>
      <c r="J3" s="17"/>
      <c r="K3" s="18">
        <f>((10^3)*C14)/(C17*C16)</f>
        <v>1629.6296296296296</v>
      </c>
      <c r="L3" s="7"/>
      <c r="M3" s="7"/>
      <c r="N3" s="8"/>
    </row>
    <row r="4" spans="1:14" ht="19.5" customHeight="1">
      <c r="A4" s="19" t="s">
        <v>9</v>
      </c>
      <c r="B4" s="10" t="s">
        <v>10</v>
      </c>
      <c r="C4" s="20">
        <v>85</v>
      </c>
      <c r="D4" s="12" t="s">
        <v>11</v>
      </c>
      <c r="E4" s="13"/>
      <c r="F4" s="13"/>
      <c r="G4" s="14" t="s">
        <v>12</v>
      </c>
      <c r="H4" s="15">
        <f>C4*SIN((PI())/C6)</f>
        <v>3.104371959901001</v>
      </c>
      <c r="I4" s="16" t="s">
        <v>13</v>
      </c>
      <c r="J4" s="17"/>
      <c r="K4" s="18">
        <f>(((C8*C32)*(1+(C19^2)))/(2*(C11-(C10*C8))))</f>
        <v>127.71851134659208</v>
      </c>
      <c r="L4" s="7"/>
      <c r="M4" s="7"/>
      <c r="N4" s="8"/>
    </row>
    <row r="5" spans="1:14" ht="19.5" customHeight="1">
      <c r="A5" s="9" t="s">
        <v>14</v>
      </c>
      <c r="B5" s="10" t="s">
        <v>15</v>
      </c>
      <c r="C5" s="20">
        <v>170</v>
      </c>
      <c r="D5" s="12" t="s">
        <v>16</v>
      </c>
      <c r="E5" s="13"/>
      <c r="F5" s="13"/>
      <c r="G5" s="10" t="s">
        <v>17</v>
      </c>
      <c r="H5" s="15">
        <f>H4+C23</f>
        <v>3.204371959901001</v>
      </c>
      <c r="I5" s="16" t="s">
        <v>18</v>
      </c>
      <c r="J5" s="17"/>
      <c r="K5" s="18">
        <f>((C7*H5*(C32*C8))/(2*(C11-(C10*C8))))</f>
        <v>61.38864247789762</v>
      </c>
      <c r="L5" s="21"/>
      <c r="M5" s="7"/>
      <c r="N5" s="8"/>
    </row>
    <row r="6" spans="1:15" ht="19.5" customHeight="1">
      <c r="A6" s="9" t="s">
        <v>19</v>
      </c>
      <c r="B6" s="10" t="s">
        <v>20</v>
      </c>
      <c r="C6" s="20">
        <v>86</v>
      </c>
      <c r="D6" s="12" t="s">
        <v>21</v>
      </c>
      <c r="E6" s="13"/>
      <c r="F6" s="13"/>
      <c r="G6" s="10" t="s">
        <v>22</v>
      </c>
      <c r="H6" s="22">
        <f>(-K12-K14)/(2*K11)</f>
        <v>0.04777260510558794</v>
      </c>
      <c r="I6" s="16" t="s">
        <v>23</v>
      </c>
      <c r="J6" s="17"/>
      <c r="K6" s="18">
        <f>(C10*K4)+(C32*(1+(C19^2)))</f>
        <v>73.43814402429045</v>
      </c>
      <c r="L6" s="23"/>
      <c r="M6" s="24"/>
      <c r="N6" s="8"/>
      <c r="O6" s="7"/>
    </row>
    <row r="7" spans="1:15" ht="19.5" customHeight="1">
      <c r="A7" s="9" t="s">
        <v>24</v>
      </c>
      <c r="B7" s="10" t="s">
        <v>25</v>
      </c>
      <c r="C7" s="22">
        <v>0.3</v>
      </c>
      <c r="D7" s="12" t="s">
        <v>26</v>
      </c>
      <c r="E7" s="13"/>
      <c r="F7" s="13"/>
      <c r="G7" s="10" t="s">
        <v>27</v>
      </c>
      <c r="H7" s="20">
        <f>(K4*H6)+K5</f>
        <v>67.49008848513192</v>
      </c>
      <c r="I7" s="16" t="s">
        <v>28</v>
      </c>
      <c r="J7" s="17"/>
      <c r="K7" s="18">
        <f>(C10*K5)+(C7*H5*C32)</f>
        <v>35.298469424791136</v>
      </c>
      <c r="L7" s="25"/>
      <c r="M7" s="8"/>
      <c r="N7" s="8"/>
      <c r="O7" s="7"/>
    </row>
    <row r="8" spans="1:15" ht="19.5" customHeight="1">
      <c r="A8" s="9" t="s">
        <v>29</v>
      </c>
      <c r="B8" s="10" t="s">
        <v>30</v>
      </c>
      <c r="C8" s="15">
        <v>32</v>
      </c>
      <c r="D8" s="12" t="s">
        <v>31</v>
      </c>
      <c r="E8" s="13"/>
      <c r="F8" s="13"/>
      <c r="G8" s="14" t="s">
        <v>32</v>
      </c>
      <c r="H8" s="26">
        <f>(K6*H6)+K7</f>
        <v>38.80680087895086</v>
      </c>
      <c r="I8" s="27" t="s">
        <v>33</v>
      </c>
      <c r="J8" s="17"/>
      <c r="K8" s="28">
        <f>ASIN(3/5)</f>
        <v>0.6435011087932844</v>
      </c>
      <c r="L8" s="8"/>
      <c r="M8" s="8"/>
      <c r="N8" s="29"/>
      <c r="O8" s="8"/>
    </row>
    <row r="9" spans="1:15" ht="19.5" customHeight="1">
      <c r="A9" s="9" t="s">
        <v>34</v>
      </c>
      <c r="B9" s="10" t="s">
        <v>35</v>
      </c>
      <c r="C9" s="15">
        <v>0.5</v>
      </c>
      <c r="D9" s="12" t="s">
        <v>36</v>
      </c>
      <c r="E9" s="13"/>
      <c r="F9" s="13"/>
      <c r="G9" s="14" t="s">
        <v>37</v>
      </c>
      <c r="H9" s="26">
        <f>C10*H7</f>
        <v>3.374504424256596</v>
      </c>
      <c r="I9" s="27" t="s">
        <v>38</v>
      </c>
      <c r="J9" s="17"/>
      <c r="K9" s="28">
        <f>ASIN(4/5)</f>
        <v>0.9272952180016123</v>
      </c>
      <c r="L9" s="8"/>
      <c r="M9" s="8"/>
      <c r="N9" s="29"/>
      <c r="O9" s="8"/>
    </row>
    <row r="10" spans="1:15" ht="19.5" customHeight="1">
      <c r="A10" s="9" t="s">
        <v>39</v>
      </c>
      <c r="B10" s="10" t="s">
        <v>40</v>
      </c>
      <c r="C10" s="22">
        <v>0.05</v>
      </c>
      <c r="D10" s="30" t="s">
        <v>41</v>
      </c>
      <c r="E10" s="13"/>
      <c r="F10" s="13"/>
      <c r="G10" s="14" t="s">
        <v>42</v>
      </c>
      <c r="H10" s="26">
        <f>((4*(10^3)*H6)/((PI())*C16))^(1/2)</f>
        <v>8.220973852521062</v>
      </c>
      <c r="I10" s="16"/>
      <c r="J10" s="17"/>
      <c r="K10" s="18"/>
      <c r="L10" s="25"/>
      <c r="M10" s="31"/>
      <c r="N10" s="32"/>
      <c r="O10" s="8"/>
    </row>
    <row r="11" spans="1:15" ht="19.5" customHeight="1">
      <c r="A11" s="9" t="s">
        <v>43</v>
      </c>
      <c r="B11" s="10" t="s">
        <v>44</v>
      </c>
      <c r="C11" s="15">
        <v>10</v>
      </c>
      <c r="D11" s="30" t="s">
        <v>45</v>
      </c>
      <c r="E11" s="13"/>
      <c r="F11" s="13"/>
      <c r="G11" s="14" t="s">
        <v>46</v>
      </c>
      <c r="H11" s="26">
        <f>H10*C19</f>
        <v>8.220973852521062</v>
      </c>
      <c r="I11" s="16" t="s">
        <v>47</v>
      </c>
      <c r="J11" s="17"/>
      <c r="K11" s="18">
        <f>(K4^2)+(K6^2)-(K3^2)</f>
        <v>-2633987.550628482</v>
      </c>
      <c r="L11" s="8"/>
      <c r="M11" s="8"/>
      <c r="N11" s="25"/>
      <c r="O11" s="8"/>
    </row>
    <row r="12" spans="1:15" ht="19.5" customHeight="1">
      <c r="A12" s="9" t="s">
        <v>48</v>
      </c>
      <c r="B12" s="10" t="s">
        <v>49</v>
      </c>
      <c r="C12" s="15">
        <v>0</v>
      </c>
      <c r="D12" s="12" t="s">
        <v>50</v>
      </c>
      <c r="E12" s="13"/>
      <c r="F12" s="13"/>
      <c r="G12" s="14" t="s">
        <v>51</v>
      </c>
      <c r="H12" s="26">
        <f>C8+C9</f>
        <v>32.5</v>
      </c>
      <c r="I12" s="16" t="s">
        <v>52</v>
      </c>
      <c r="J12" s="17"/>
      <c r="K12" s="18">
        <f>(2*((K4*K5)+(K6*K7)))</f>
        <v>20865.44022464015</v>
      </c>
      <c r="L12" s="8"/>
      <c r="M12" s="8"/>
      <c r="N12" s="25"/>
      <c r="O12" s="8"/>
    </row>
    <row r="13" spans="1:15" ht="19.5" customHeight="1">
      <c r="A13" s="9" t="s">
        <v>53</v>
      </c>
      <c r="B13" s="10" t="s">
        <v>54</v>
      </c>
      <c r="C13" s="15">
        <v>5</v>
      </c>
      <c r="D13" s="12" t="s">
        <v>55</v>
      </c>
      <c r="E13" s="13"/>
      <c r="F13" s="13"/>
      <c r="G13" s="10" t="s">
        <v>56</v>
      </c>
      <c r="H13" s="15">
        <f>C11+C12</f>
        <v>10</v>
      </c>
      <c r="I13" s="16" t="s">
        <v>57</v>
      </c>
      <c r="J13" s="17"/>
      <c r="K13" s="18">
        <f>(K5^2)+(K7^2)</f>
        <v>5014.547369012051</v>
      </c>
      <c r="L13" s="8"/>
      <c r="M13" s="8"/>
      <c r="N13" s="8"/>
      <c r="O13" s="8"/>
    </row>
    <row r="14" spans="1:15" ht="19.5" customHeight="1">
      <c r="A14" s="9" t="s">
        <v>58</v>
      </c>
      <c r="B14" s="10" t="s">
        <v>59</v>
      </c>
      <c r="C14" s="26">
        <v>8.8</v>
      </c>
      <c r="D14" s="12" t="s">
        <v>60</v>
      </c>
      <c r="E14" s="13"/>
      <c r="F14" s="13"/>
      <c r="G14" s="10" t="s">
        <v>61</v>
      </c>
      <c r="H14" s="22">
        <f>(C19^2)*H6</f>
        <v>0.04777260510558794</v>
      </c>
      <c r="I14" s="16" t="s">
        <v>62</v>
      </c>
      <c r="J14" s="17"/>
      <c r="K14" s="18">
        <f>(((K12^2)-(4*K11*K13))^(1/2))</f>
        <v>230799.45399377838</v>
      </c>
      <c r="L14" s="8"/>
      <c r="M14" s="8"/>
      <c r="N14" s="8"/>
      <c r="O14" s="8"/>
    </row>
    <row r="15" spans="1:15" ht="19.5" customHeight="1">
      <c r="A15" s="9"/>
      <c r="B15" s="10"/>
      <c r="C15" s="20"/>
      <c r="D15" s="12" t="s">
        <v>63</v>
      </c>
      <c r="E15" s="13"/>
      <c r="F15" s="13"/>
      <c r="G15" s="10" t="s">
        <v>64</v>
      </c>
      <c r="H15" s="20">
        <f>(-K16+K18)/(2*K15)</f>
        <v>64.81022971118061</v>
      </c>
      <c r="I15" s="16" t="s">
        <v>65</v>
      </c>
      <c r="J15" s="33"/>
      <c r="K15" s="28">
        <f>1+((H13/H12)^2)</f>
        <v>1.0946745562130178</v>
      </c>
      <c r="L15" s="8"/>
      <c r="M15" s="8"/>
      <c r="N15" s="25"/>
      <c r="O15" s="8"/>
    </row>
    <row r="16" spans="1:15" ht="19.5" customHeight="1">
      <c r="A16" s="9" t="s">
        <v>66</v>
      </c>
      <c r="B16" s="10" t="s">
        <v>67</v>
      </c>
      <c r="C16" s="26">
        <v>0.9</v>
      </c>
      <c r="D16" s="12" t="s">
        <v>68</v>
      </c>
      <c r="E16" s="13"/>
      <c r="F16" s="13"/>
      <c r="G16" s="10" t="s">
        <v>69</v>
      </c>
      <c r="H16" s="26">
        <f>(H15*(H13/H12))-((H14*C33)/2)</f>
        <v>19.12938704256533</v>
      </c>
      <c r="I16" s="16" t="s">
        <v>70</v>
      </c>
      <c r="J16" s="34"/>
      <c r="K16" s="28">
        <f>-((H13*H14*C33)/H12)</f>
        <v>-0.4998289842070144</v>
      </c>
      <c r="L16" s="8"/>
      <c r="M16" s="8"/>
      <c r="N16" s="8"/>
      <c r="O16" s="7"/>
    </row>
    <row r="17" spans="1:15" ht="19.5" customHeight="1">
      <c r="A17" s="9" t="s">
        <v>71</v>
      </c>
      <c r="B17" s="10" t="s">
        <v>72</v>
      </c>
      <c r="C17" s="26">
        <v>6</v>
      </c>
      <c r="D17" s="12" t="s">
        <v>73</v>
      </c>
      <c r="E17" s="13"/>
      <c r="F17" s="13"/>
      <c r="G17" s="10" t="s">
        <v>74</v>
      </c>
      <c r="H17" s="26">
        <f>H16+(H14*C33)</f>
        <v>20.753831241238128</v>
      </c>
      <c r="I17" s="35" t="s">
        <v>75</v>
      </c>
      <c r="J17" s="13"/>
      <c r="K17" s="18">
        <f>(((H14*C33)^2)/4)-(H7^2)-(H9^2)</f>
        <v>-4565.639619101614</v>
      </c>
      <c r="L17" s="8"/>
      <c r="M17" s="8"/>
      <c r="N17" s="25"/>
      <c r="O17" s="31"/>
    </row>
    <row r="18" spans="1:15" ht="19.5" customHeight="1">
      <c r="A18" s="9" t="s">
        <v>76</v>
      </c>
      <c r="B18" s="10" t="s">
        <v>77</v>
      </c>
      <c r="C18" s="26">
        <v>6</v>
      </c>
      <c r="D18" s="12" t="s">
        <v>78</v>
      </c>
      <c r="E18" s="13"/>
      <c r="F18" s="13"/>
      <c r="G18" s="14" t="s">
        <v>79</v>
      </c>
      <c r="H18" s="15">
        <f>C22*H15</f>
        <v>6.481022971118062</v>
      </c>
      <c r="I18" s="16" t="s">
        <v>80</v>
      </c>
      <c r="J18" s="13"/>
      <c r="K18" s="18">
        <f>((K16^2)-(4*K15*K17))^(1/2)</f>
        <v>141.39238991009373</v>
      </c>
      <c r="L18" s="8"/>
      <c r="M18" s="8"/>
      <c r="N18" s="8"/>
      <c r="O18" s="7"/>
    </row>
    <row r="19" spans="1:15" ht="19.5" customHeight="1">
      <c r="A19" s="9" t="s">
        <v>81</v>
      </c>
      <c r="B19" s="10" t="s">
        <v>82</v>
      </c>
      <c r="C19" s="26">
        <v>1</v>
      </c>
      <c r="D19" s="12" t="s">
        <v>83</v>
      </c>
      <c r="E19" s="13"/>
      <c r="F19" s="13"/>
      <c r="G19" s="10" t="s">
        <v>84</v>
      </c>
      <c r="H19" s="15">
        <f>((H18*(C11+C13))/H12)+(((C21^2)*H14*C34)/2)</f>
        <v>4.222440672216326</v>
      </c>
      <c r="I19" s="36" t="s">
        <v>85</v>
      </c>
      <c r="J19" s="37"/>
      <c r="K19" s="28">
        <f>H9-H8+(C7*H5*C32)+((H6*C32*((1+(C19^2)))))</f>
        <v>0</v>
      </c>
      <c r="L19" s="8"/>
      <c r="M19" s="8"/>
      <c r="N19" s="8"/>
      <c r="O19" s="7"/>
    </row>
    <row r="20" spans="1:16" ht="19.5" customHeight="1">
      <c r="A20" s="38" t="s">
        <v>86</v>
      </c>
      <c r="B20" s="10" t="s">
        <v>87</v>
      </c>
      <c r="C20" s="26">
        <v>2</v>
      </c>
      <c r="D20" s="12" t="s">
        <v>88</v>
      </c>
      <c r="E20" s="13"/>
      <c r="F20" s="13"/>
      <c r="G20" s="14" t="s">
        <v>89</v>
      </c>
      <c r="H20" s="26">
        <f>C14/((((H18^2)+(H19^2))^(1/2))/((PI())*(C21^2)*(H11^2)/4))</f>
        <v>86.95857404484072</v>
      </c>
      <c r="I20" s="36" t="s">
        <v>90</v>
      </c>
      <c r="J20" s="37"/>
      <c r="K20" s="28">
        <f>(H8*C8)-(H7*C11)-((C7*H5*(C8*C32))/2)-((H6*(C8*C32)*(1+(C19^2)))/2)</f>
        <v>0</v>
      </c>
      <c r="L20" s="8"/>
      <c r="M20" s="8"/>
      <c r="N20" s="29"/>
      <c r="O20" s="7"/>
      <c r="P20" s="39"/>
    </row>
    <row r="21" spans="1:15" ht="19.5" customHeight="1">
      <c r="A21" s="19" t="s">
        <v>91</v>
      </c>
      <c r="B21" s="10" t="s">
        <v>92</v>
      </c>
      <c r="C21" s="26">
        <v>1.2</v>
      </c>
      <c r="D21" s="30" t="s">
        <v>93</v>
      </c>
      <c r="E21" s="13"/>
      <c r="F21" s="13"/>
      <c r="G21" s="14" t="s">
        <v>94</v>
      </c>
      <c r="H21" s="26">
        <f>((4*(10^3)*C38)/((PI())*C16))^(1/2)</f>
        <v>57.09548609567025</v>
      </c>
      <c r="I21" s="36" t="s">
        <v>95</v>
      </c>
      <c r="J21" s="37"/>
      <c r="K21" s="28">
        <f>H9-(C10*H7)</f>
        <v>0</v>
      </c>
      <c r="L21" s="8"/>
      <c r="M21" s="8"/>
      <c r="N21" s="8"/>
      <c r="O21" s="40"/>
    </row>
    <row r="22" spans="1:15" ht="19.5" customHeight="1">
      <c r="A22" s="9" t="s">
        <v>96</v>
      </c>
      <c r="B22" s="14" t="s">
        <v>97</v>
      </c>
      <c r="C22" s="15">
        <v>0.1</v>
      </c>
      <c r="D22" s="12" t="s">
        <v>98</v>
      </c>
      <c r="E22" s="41"/>
      <c r="F22" s="41"/>
      <c r="G22" s="42" t="s">
        <v>99</v>
      </c>
      <c r="H22" s="26">
        <f>(10^-3)*((PI())*(H21^2)/4)*C35*C16</f>
        <v>4.343225154262544</v>
      </c>
      <c r="I22" s="36" t="s">
        <v>100</v>
      </c>
      <c r="J22" s="37"/>
      <c r="K22" s="28">
        <f>(H7^2)+(H8^2)-((((10^3)*C14*H6)/(C17*C16))^2)</f>
        <v>0</v>
      </c>
      <c r="L22" s="8"/>
      <c r="M22" s="8"/>
      <c r="N22" s="43"/>
      <c r="O22" s="7"/>
    </row>
    <row r="23" spans="1:15" ht="19.5" customHeight="1">
      <c r="A23" s="9" t="s">
        <v>101</v>
      </c>
      <c r="B23" s="10" t="s">
        <v>102</v>
      </c>
      <c r="C23" s="15">
        <v>0.1</v>
      </c>
      <c r="D23" s="12" t="s">
        <v>103</v>
      </c>
      <c r="E23" s="13"/>
      <c r="F23" s="13"/>
      <c r="G23" s="14" t="s">
        <v>104</v>
      </c>
      <c r="H23" s="26">
        <f>(10^-3)*(((PI())*(H21^2))/4)*C36*C16</f>
        <v>1.683142019841484</v>
      </c>
      <c r="I23" s="36" t="s">
        <v>105</v>
      </c>
      <c r="J23" s="37"/>
      <c r="K23" s="28">
        <f>(H16^2)+(H15^2)-(H7^2)-(H9^2)</f>
        <v>2.078337502098293E-13</v>
      </c>
      <c r="L23" s="8"/>
      <c r="M23" s="31"/>
      <c r="N23" s="8"/>
      <c r="O23" s="7"/>
    </row>
    <row r="24" spans="1:15" ht="19.5" customHeight="1">
      <c r="A24" s="9" t="s">
        <v>106</v>
      </c>
      <c r="B24" s="10" t="s">
        <v>107</v>
      </c>
      <c r="C24" s="20">
        <v>120</v>
      </c>
      <c r="D24" s="12" t="s">
        <v>108</v>
      </c>
      <c r="E24" s="13"/>
      <c r="F24" s="13"/>
      <c r="G24" s="14" t="s">
        <v>109</v>
      </c>
      <c r="H24" s="26">
        <f>H9+H16+H19-((C21^2)*H14*C34)-C20-H22-(H14*C9)</f>
        <v>17.89682208036078</v>
      </c>
      <c r="I24" s="36" t="s">
        <v>110</v>
      </c>
      <c r="J24" s="37"/>
      <c r="K24" s="28">
        <f>H16+(H14*C33)-H17</f>
        <v>0</v>
      </c>
      <c r="L24" s="8"/>
      <c r="M24" s="8"/>
      <c r="N24" s="8"/>
      <c r="O24" s="7"/>
    </row>
    <row r="25" spans="1:15" ht="19.5" customHeight="1">
      <c r="A25" s="9"/>
      <c r="B25" s="10"/>
      <c r="C25" s="44"/>
      <c r="D25" s="12" t="s">
        <v>111</v>
      </c>
      <c r="E25" s="45"/>
      <c r="F25" s="45"/>
      <c r="G25" s="14" t="s">
        <v>112</v>
      </c>
      <c r="H25" s="26">
        <f>H9+H16+H19-((C21^2)*H14*C34)-C20-H23-(H14*C9)</f>
        <v>20.556905214781843</v>
      </c>
      <c r="I25" s="36" t="s">
        <v>113</v>
      </c>
      <c r="J25" s="37"/>
      <c r="K25" s="28">
        <f>(H15*H13)-((H14*H12*C33)/2)-(H16*H12)</f>
        <v>0</v>
      </c>
      <c r="L25" s="8"/>
      <c r="M25" s="8"/>
      <c r="N25" s="8"/>
      <c r="O25" s="7"/>
    </row>
    <row r="26" spans="1:15" ht="19.5" customHeight="1">
      <c r="A26" s="46" t="s">
        <v>114</v>
      </c>
      <c r="B26" s="10" t="s">
        <v>115</v>
      </c>
      <c r="C26" s="44">
        <v>250</v>
      </c>
      <c r="D26" s="30" t="s">
        <v>116</v>
      </c>
      <c r="E26" s="45"/>
      <c r="F26" s="45"/>
      <c r="G26" s="14" t="s">
        <v>117</v>
      </c>
      <c r="H26" s="26">
        <f>C21*H11</f>
        <v>9.865168623025275</v>
      </c>
      <c r="I26" s="36" t="s">
        <v>118</v>
      </c>
      <c r="J26" s="37"/>
      <c r="K26" s="28">
        <f>H18-(C22*H15)</f>
        <v>0</v>
      </c>
      <c r="L26" s="8"/>
      <c r="M26" s="8"/>
      <c r="N26" s="8"/>
      <c r="O26" s="7"/>
    </row>
    <row r="27" spans="1:15" ht="19.5" customHeight="1">
      <c r="A27" s="9" t="s">
        <v>119</v>
      </c>
      <c r="B27" s="10" t="s">
        <v>120</v>
      </c>
      <c r="C27" s="44"/>
      <c r="D27" s="12" t="s">
        <v>121</v>
      </c>
      <c r="E27" s="45"/>
      <c r="F27" s="45"/>
      <c r="G27" s="14" t="s">
        <v>122</v>
      </c>
      <c r="H27" s="15">
        <f>((C7*H5*C32)/2)+((H6*C32)/2)+(H14*C33)+(H14*C9)+C20+H22+H24+((C21^2)*H14*C34)</f>
        <v>45.26610977660867</v>
      </c>
      <c r="I27" s="36" t="s">
        <v>123</v>
      </c>
      <c r="J27" s="37"/>
      <c r="K27" s="28">
        <f>(H18*(C11+C13))+(((C21^2)*H14*H12*C34)/2)-(H19*H12)</f>
        <v>0</v>
      </c>
      <c r="L27" s="8"/>
      <c r="M27" s="40"/>
      <c r="N27" s="8"/>
      <c r="O27" s="7"/>
    </row>
    <row r="28" spans="1:15" ht="19.5" customHeight="1">
      <c r="A28" s="9" t="s">
        <v>124</v>
      </c>
      <c r="B28" s="10" t="s">
        <v>125</v>
      </c>
      <c r="C28" s="26">
        <v>4</v>
      </c>
      <c r="D28" s="12" t="s">
        <v>126</v>
      </c>
      <c r="E28" s="45"/>
      <c r="F28" s="45"/>
      <c r="G28" s="14" t="s">
        <v>127</v>
      </c>
      <c r="H28" s="20">
        <f>((H27*H12)-(((C21^2)*H14*H12*C34)/2))/(C11+C13)</f>
        <v>95.40897269730148</v>
      </c>
      <c r="I28" s="36" t="s">
        <v>128</v>
      </c>
      <c r="J28" s="37"/>
      <c r="K28" s="28">
        <f>(H27*H12)-(((C21^2)*H14*H12*C34)/2)-(H28*(C11+C13))</f>
        <v>0</v>
      </c>
      <c r="L28" s="8"/>
      <c r="M28" s="40"/>
      <c r="N28" s="8"/>
      <c r="O28" s="7"/>
    </row>
    <row r="29" spans="1:15" ht="19.5" customHeight="1">
      <c r="A29" s="9" t="s">
        <v>129</v>
      </c>
      <c r="B29" s="10" t="s">
        <v>130</v>
      </c>
      <c r="C29" s="26">
        <v>6</v>
      </c>
      <c r="D29" s="12" t="s">
        <v>131</v>
      </c>
      <c r="E29" s="45"/>
      <c r="F29" s="45"/>
      <c r="G29" s="14" t="s">
        <v>132</v>
      </c>
      <c r="H29" s="26">
        <f>C14/((H28/(2*(SIN((PI())/C5))))/(((PI())*(H21^2))/4))</f>
        <v>8.727565379478559</v>
      </c>
      <c r="I29" s="47" t="s">
        <v>133</v>
      </c>
      <c r="J29" s="37"/>
      <c r="K29" s="18">
        <f>H8+H17+H19</f>
        <v>63.78307279240531</v>
      </c>
      <c r="L29" s="8"/>
      <c r="M29" s="40"/>
      <c r="N29" s="48"/>
      <c r="O29" s="7"/>
    </row>
    <row r="30" spans="1:15" ht="19.5" customHeight="1">
      <c r="A30" s="49"/>
      <c r="B30" s="50" t="s">
        <v>3</v>
      </c>
      <c r="C30" s="51"/>
      <c r="D30" s="23" t="s">
        <v>134</v>
      </c>
      <c r="E30" s="13"/>
      <c r="F30" s="13"/>
      <c r="G30" s="14" t="s">
        <v>135</v>
      </c>
      <c r="H30" s="26">
        <f>C14/((((H28^2)+(H27^2))^(1/2))/(((PI())*(C21^2)*(H11^2))/4))</f>
        <v>6.369528527811201</v>
      </c>
      <c r="I30" s="47" t="s">
        <v>136</v>
      </c>
      <c r="J30" s="37"/>
      <c r="K30" s="18">
        <f>(C7*H5*C32)+(H6*C32)+((C21^2)*H14*C34)+(2*H14*C33)+H22+H24+C20+(H14*C9)</f>
        <v>63.8058874141791</v>
      </c>
      <c r="L30" s="8"/>
      <c r="M30" s="8"/>
      <c r="N30" s="8"/>
      <c r="O30" s="7"/>
    </row>
    <row r="31" spans="1:15" ht="19.5" customHeight="1">
      <c r="A31" s="52"/>
      <c r="B31" s="50"/>
      <c r="C31" s="53"/>
      <c r="D31" s="30" t="s">
        <v>137</v>
      </c>
      <c r="E31" s="13"/>
      <c r="F31" s="13"/>
      <c r="G31" s="14" t="s">
        <v>138</v>
      </c>
      <c r="H31" s="20">
        <f>(((10^3)*H28*(C11+C13)*C29)/(((PI())/32)*C28))^(1/3)</f>
        <v>279.63441169967365</v>
      </c>
      <c r="I31" s="47" t="s">
        <v>139</v>
      </c>
      <c r="J31" s="13"/>
      <c r="K31" s="18">
        <f>(C7*H5*C32)+(H6*C32)+((C21^2)*H14*C34)+(2*H14*C33)+H23+H25+C20+(H14*C9)</f>
        <v>63.805887414179104</v>
      </c>
      <c r="M31" s="39"/>
      <c r="O31" s="7"/>
    </row>
    <row r="32" spans="1:15" ht="19.5" customHeight="1">
      <c r="A32" s="19" t="s">
        <v>140</v>
      </c>
      <c r="B32" s="54" t="s">
        <v>141</v>
      </c>
      <c r="C32" s="26">
        <f>((C8^2)+(C11^2))^(1/2)</f>
        <v>33.52610922848042</v>
      </c>
      <c r="D32" s="55" t="s">
        <v>142</v>
      </c>
      <c r="E32" s="13"/>
      <c r="F32" s="13"/>
      <c r="G32" s="14" t="s">
        <v>143</v>
      </c>
      <c r="H32" s="20">
        <f>(2*K8*(C3-(2*H12)))+(2*K9*(C4-(2*H12)))</f>
        <v>168.3660349138945</v>
      </c>
      <c r="I32" s="56" t="s">
        <v>144</v>
      </c>
      <c r="J32" s="13"/>
      <c r="K32" s="57">
        <f aca="true" t="shared" si="0" ref="K32:K33">H10</f>
        <v>8.220973852521062</v>
      </c>
      <c r="M32" s="39"/>
      <c r="O32" s="7"/>
    </row>
    <row r="33" spans="1:15" ht="19.5" customHeight="1">
      <c r="A33" s="9" t="s">
        <v>145</v>
      </c>
      <c r="B33" s="10" t="s">
        <v>146</v>
      </c>
      <c r="C33" s="26">
        <f>((H12^2)+(H13^2))^(1/2)</f>
        <v>34.00367627183861</v>
      </c>
      <c r="D33" s="12" t="s">
        <v>147</v>
      </c>
      <c r="E33" s="13"/>
      <c r="F33" s="13"/>
      <c r="G33" s="14" t="s">
        <v>148</v>
      </c>
      <c r="H33" s="20">
        <f>C38*H32</f>
        <v>387.96310329014926</v>
      </c>
      <c r="I33" s="56" t="s">
        <v>149</v>
      </c>
      <c r="J33" s="13"/>
      <c r="K33" s="57">
        <f t="shared" si="0"/>
        <v>8.220973852521062</v>
      </c>
      <c r="M33" s="39"/>
      <c r="O33" s="7"/>
    </row>
    <row r="34" spans="1:15" ht="19.5" customHeight="1">
      <c r="A34" s="9" t="s">
        <v>150</v>
      </c>
      <c r="B34" s="10" t="s">
        <v>151</v>
      </c>
      <c r="C34" s="26">
        <f>(((C11+C13)^2)+(H12^2))^(1/2)</f>
        <v>35.79455265819088</v>
      </c>
      <c r="D34" s="12" t="s">
        <v>152</v>
      </c>
      <c r="E34" s="13"/>
      <c r="F34" s="13"/>
      <c r="G34" s="14" t="s">
        <v>153</v>
      </c>
      <c r="H34" s="20">
        <f>C24*K30</f>
        <v>7656.706489701492</v>
      </c>
      <c r="I34" s="58" t="s">
        <v>154</v>
      </c>
      <c r="J34" s="13"/>
      <c r="K34" s="57">
        <f>H21</f>
        <v>57.09548609567025</v>
      </c>
      <c r="M34" s="39"/>
      <c r="N34" s="39"/>
      <c r="O34" s="7"/>
    </row>
    <row r="35" spans="1:15" ht="19.5" customHeight="1">
      <c r="A35" s="9" t="s">
        <v>155</v>
      </c>
      <c r="B35" s="10" t="s">
        <v>156</v>
      </c>
      <c r="C35" s="15">
        <f>(C3-(2*H12))*(SIN((PI()/C5)))</f>
        <v>1.8848483058312504</v>
      </c>
      <c r="D35" s="12" t="s">
        <v>157</v>
      </c>
      <c r="E35" s="13"/>
      <c r="F35" s="13"/>
      <c r="G35" s="14" t="s">
        <v>158</v>
      </c>
      <c r="H35" s="20">
        <f>C24*C7*H5*C32</f>
        <v>3867.48447610755</v>
      </c>
      <c r="I35" s="58" t="s">
        <v>116</v>
      </c>
      <c r="J35" s="37"/>
      <c r="K35" s="57">
        <f>H26</f>
        <v>9.865168623025275</v>
      </c>
      <c r="M35" s="39"/>
      <c r="N35" s="39"/>
      <c r="O35" s="7"/>
    </row>
    <row r="36" spans="1:15" ht="19.5" customHeight="1">
      <c r="A36" s="9" t="s">
        <v>159</v>
      </c>
      <c r="B36" s="10" t="s">
        <v>160</v>
      </c>
      <c r="C36" s="15">
        <f>(C4-(2*H12))*(SIN((PI()/C6)))</f>
        <v>0.7304404611531767</v>
      </c>
      <c r="D36" s="12" t="s">
        <v>161</v>
      </c>
      <c r="E36" s="13"/>
      <c r="F36" s="13"/>
      <c r="G36" s="14" t="s">
        <v>162</v>
      </c>
      <c r="H36" s="20">
        <f>(2*C8*((K8*C3)+(K9*C4)))-(2*(C8^2)*(K8+K9))</f>
        <v>8705.234959435445</v>
      </c>
      <c r="I36" s="47" t="s">
        <v>163</v>
      </c>
      <c r="J36" s="37"/>
      <c r="K36" s="18">
        <f>C24*H5*C32</f>
        <v>12891.614920358501</v>
      </c>
      <c r="M36" s="39"/>
      <c r="N36" s="39"/>
      <c r="O36" s="7"/>
    </row>
    <row r="37" spans="1:15" ht="19.5" customHeight="1">
      <c r="A37" s="9" t="s">
        <v>164</v>
      </c>
      <c r="B37" s="10" t="s">
        <v>165</v>
      </c>
      <c r="C37" s="20">
        <f>(H7+((1+C22)*H15))/(2*(SIN((PI())/C5)))</f>
        <v>3755.128928753504</v>
      </c>
      <c r="D37" s="12" t="s">
        <v>166</v>
      </c>
      <c r="E37" s="13"/>
      <c r="F37" s="13"/>
      <c r="G37" s="14" t="s">
        <v>167</v>
      </c>
      <c r="H37" s="20">
        <f>((H15^2)+(H17^2))^(1/2)</f>
        <v>68.05209318166334</v>
      </c>
      <c r="I37" s="47" t="s">
        <v>168</v>
      </c>
      <c r="J37" s="37"/>
      <c r="K37" s="28">
        <f>H34/H36</f>
        <v>0.8795519621676067</v>
      </c>
      <c r="M37" s="39"/>
      <c r="N37" s="39"/>
      <c r="O37" s="7"/>
    </row>
    <row r="38" spans="1:14" s="67" customFormat="1" ht="19.5" customHeight="1">
      <c r="A38" s="59" t="s">
        <v>169</v>
      </c>
      <c r="B38" s="60" t="s">
        <v>170</v>
      </c>
      <c r="C38" s="61">
        <f>(C37*C18*C16)/((10^3)*C14)</f>
        <v>2.3042836608260138</v>
      </c>
      <c r="D38" s="62" t="s">
        <v>171</v>
      </c>
      <c r="E38" s="63"/>
      <c r="F38" s="63"/>
      <c r="G38" s="13" t="s">
        <v>172</v>
      </c>
      <c r="H38" s="64">
        <f>3*C33*C24</f>
        <v>12241.3234578619</v>
      </c>
      <c r="I38" s="62"/>
      <c r="J38" s="65"/>
      <c r="K38" s="66"/>
      <c r="N38" s="68"/>
    </row>
    <row r="39" spans="1:11" s="67" customFormat="1" ht="19.5" customHeight="1">
      <c r="A39" s="69"/>
      <c r="B39" s="70"/>
      <c r="C39" s="71"/>
      <c r="D39" s="72" t="s">
        <v>173</v>
      </c>
      <c r="E39" s="73"/>
      <c r="F39" s="73"/>
      <c r="G39" s="73" t="s">
        <v>174</v>
      </c>
      <c r="H39" s="74">
        <f>C34*C24</f>
        <v>4295.346318982905</v>
      </c>
      <c r="I39" s="75"/>
      <c r="J39" s="73"/>
      <c r="K39" s="76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8.75" customHeight="1"/>
    <row r="48" ht="18.75" customHeight="1"/>
    <row r="49" ht="18.75" customHeight="1"/>
    <row r="50" ht="18.75" customHeight="1"/>
  </sheetData>
  <sheetProtection selectLockedCells="1" selectUnlockedCells="1"/>
  <mergeCells count="5">
    <mergeCell ref="A1:K1"/>
    <mergeCell ref="A2:B2"/>
    <mergeCell ref="D2:G2"/>
    <mergeCell ref="I2:K2"/>
    <mergeCell ref="B30:B31"/>
  </mergeCells>
  <printOptions/>
  <pageMargins left="0.25" right="0.19652777777777777" top="0.24027777777777778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10.28125" defaultRowHeight="12.75"/>
  <cols>
    <col min="1" max="1" width="5.7109375" style="0" customWidth="1"/>
    <col min="2" max="2" width="26.57421875" style="0" customWidth="1"/>
    <col min="3" max="3" width="9.421875" style="0" customWidth="1"/>
    <col min="4" max="4" width="5.7109375" style="0" customWidth="1"/>
    <col min="5" max="5" width="27.7109375" style="0" customWidth="1"/>
    <col min="6" max="6" width="11.57421875" style="0" customWidth="1"/>
    <col min="7" max="16384" width="11.00390625" style="0" customWidth="1"/>
  </cols>
  <sheetData>
    <row r="1" spans="1:6" ht="24.75" customHeight="1">
      <c r="A1" s="77"/>
      <c r="B1" s="77"/>
      <c r="C1" s="77"/>
      <c r="D1" s="78"/>
      <c r="E1" s="78"/>
      <c r="F1" s="78"/>
    </row>
    <row r="2" spans="1:7" ht="24.75" customHeight="1">
      <c r="A2" s="79"/>
      <c r="B2" s="79"/>
      <c r="C2" s="79"/>
      <c r="D2" s="19"/>
      <c r="E2" s="80"/>
      <c r="F2" s="81"/>
      <c r="G2" s="82"/>
    </row>
    <row r="3" spans="1:7" ht="21.75" customHeight="1">
      <c r="A3" s="83"/>
      <c r="B3" s="84"/>
      <c r="C3" s="85"/>
      <c r="D3" s="86"/>
      <c r="E3" s="80"/>
      <c r="F3" s="87"/>
      <c r="G3" s="82"/>
    </row>
    <row r="4" spans="1:7" ht="24.75" customHeight="1">
      <c r="A4" s="38"/>
      <c r="B4" s="88"/>
      <c r="C4" s="89"/>
      <c r="D4" s="86"/>
      <c r="E4" s="80"/>
      <c r="F4" s="90"/>
      <c r="G4" s="82"/>
    </row>
    <row r="5" spans="1:7" ht="21.75" customHeight="1">
      <c r="A5" s="86"/>
      <c r="B5" s="91"/>
      <c r="C5" s="81"/>
      <c r="D5" s="86"/>
      <c r="E5" s="80"/>
      <c r="F5" s="90"/>
      <c r="G5" s="82"/>
    </row>
    <row r="6" spans="1:7" ht="21.75" customHeight="1">
      <c r="A6" s="86"/>
      <c r="B6" s="80"/>
      <c r="C6" s="92"/>
      <c r="D6" s="86"/>
      <c r="E6" s="80"/>
      <c r="F6" s="81"/>
      <c r="G6" s="82"/>
    </row>
    <row r="7" spans="1:7" ht="21.75" customHeight="1">
      <c r="A7" s="86"/>
      <c r="B7" s="80"/>
      <c r="C7" s="92"/>
      <c r="D7" s="86"/>
      <c r="E7" s="80"/>
      <c r="F7" s="81"/>
      <c r="G7" s="82"/>
    </row>
    <row r="8" spans="1:7" ht="21.75" customHeight="1">
      <c r="A8" s="86"/>
      <c r="B8" s="80"/>
      <c r="C8" s="92"/>
      <c r="D8" s="86"/>
      <c r="E8" s="80"/>
      <c r="F8" s="81"/>
      <c r="G8" s="82"/>
    </row>
    <row r="9" spans="1:7" ht="21.75" customHeight="1">
      <c r="A9" s="86"/>
      <c r="B9" s="80"/>
      <c r="C9" s="92"/>
      <c r="D9" s="86"/>
      <c r="E9" s="80"/>
      <c r="F9" s="81"/>
      <c r="G9" s="82"/>
    </row>
    <row r="10" spans="1:7" ht="21.75" customHeight="1">
      <c r="A10" s="86"/>
      <c r="B10" s="80"/>
      <c r="C10" s="92"/>
      <c r="D10" s="86"/>
      <c r="E10" s="37"/>
      <c r="F10" s="81"/>
      <c r="G10" s="82"/>
    </row>
    <row r="11" spans="1:7" ht="21.75" customHeight="1">
      <c r="A11" s="86"/>
      <c r="B11" s="80"/>
      <c r="C11" s="81"/>
      <c r="D11" s="86"/>
      <c r="E11" s="37"/>
      <c r="F11" s="81"/>
      <c r="G11" s="82"/>
    </row>
    <row r="12" spans="1:7" ht="21.75" customHeight="1">
      <c r="A12" s="86"/>
      <c r="B12" s="80"/>
      <c r="C12" s="81"/>
      <c r="D12" s="19"/>
      <c r="E12" s="37"/>
      <c r="F12" s="81"/>
      <c r="G12" s="82"/>
    </row>
    <row r="13" spans="1:7" ht="21.75" customHeight="1">
      <c r="A13" s="86"/>
      <c r="B13" s="80"/>
      <c r="C13" s="81"/>
      <c r="D13" s="86"/>
      <c r="E13" s="80"/>
      <c r="F13" s="81"/>
      <c r="G13" s="82"/>
    </row>
    <row r="14" spans="1:6" ht="21.75" customHeight="1">
      <c r="A14" s="86"/>
      <c r="B14" s="80"/>
      <c r="C14" s="81"/>
      <c r="D14" s="93"/>
      <c r="E14" s="94"/>
      <c r="F14" s="92"/>
    </row>
    <row r="15" spans="1:6" ht="21.75" customHeight="1">
      <c r="A15" s="86"/>
      <c r="B15" s="80"/>
      <c r="C15" s="81"/>
      <c r="D15" s="93"/>
      <c r="E15" s="80"/>
      <c r="F15" s="92"/>
    </row>
    <row r="16" spans="1:6" ht="21.75" customHeight="1">
      <c r="A16" s="86"/>
      <c r="B16" s="80"/>
      <c r="C16" s="95"/>
      <c r="D16" s="19"/>
      <c r="E16" s="80"/>
      <c r="F16" s="92"/>
    </row>
    <row r="17" spans="1:6" ht="21.75" customHeight="1">
      <c r="A17" s="19"/>
      <c r="B17" s="80"/>
      <c r="C17" s="81"/>
      <c r="D17" s="19"/>
      <c r="E17" s="80"/>
      <c r="F17" s="92"/>
    </row>
    <row r="18" spans="1:6" ht="21.75" customHeight="1">
      <c r="A18" s="86"/>
      <c r="B18" s="80"/>
      <c r="C18" s="87"/>
      <c r="D18" s="19"/>
      <c r="E18" s="80"/>
      <c r="F18" s="92"/>
    </row>
    <row r="19" spans="1:6" ht="21.75" customHeight="1">
      <c r="A19" s="86"/>
      <c r="B19" s="80"/>
      <c r="C19" s="87"/>
      <c r="D19" s="93"/>
      <c r="E19" s="80"/>
      <c r="F19" s="92"/>
    </row>
    <row r="20" spans="1:6" ht="21.75" customHeight="1">
      <c r="A20" s="86"/>
      <c r="B20" s="80"/>
      <c r="C20" s="92"/>
      <c r="D20" s="93"/>
      <c r="E20" s="80"/>
      <c r="F20" s="92"/>
    </row>
    <row r="21" spans="1:6" ht="21.75" customHeight="1">
      <c r="A21" s="86"/>
      <c r="B21" s="80"/>
      <c r="C21" s="92"/>
      <c r="D21" s="93"/>
      <c r="E21" s="80"/>
      <c r="F21" s="92"/>
    </row>
    <row r="22" spans="1:6" ht="21.75" customHeight="1">
      <c r="A22" s="86"/>
      <c r="B22" s="80"/>
      <c r="C22" s="92"/>
      <c r="D22" s="93"/>
      <c r="E22" s="80"/>
      <c r="F22" s="92"/>
    </row>
    <row r="23" spans="1:6" ht="21.75" customHeight="1">
      <c r="A23" s="86"/>
      <c r="B23" s="80"/>
      <c r="C23" s="81"/>
      <c r="D23" s="93"/>
      <c r="E23" s="80"/>
      <c r="F23" s="92"/>
    </row>
    <row r="24" spans="1:6" ht="21.75" customHeight="1">
      <c r="A24" s="86"/>
      <c r="B24" s="80"/>
      <c r="C24" s="81"/>
      <c r="D24" s="93"/>
      <c r="E24" s="80"/>
      <c r="F24" s="92"/>
    </row>
    <row r="25" spans="1:6" ht="21.75" customHeight="1">
      <c r="A25" s="86"/>
      <c r="B25" s="80"/>
      <c r="C25" s="81"/>
      <c r="D25" s="93"/>
      <c r="E25" s="80"/>
      <c r="F25" s="66"/>
    </row>
    <row r="26" spans="1:6" ht="25.5" customHeight="1">
      <c r="A26" s="86"/>
      <c r="B26" s="91"/>
      <c r="C26" s="81"/>
      <c r="D26" s="93"/>
      <c r="E26" s="80"/>
      <c r="F26" s="66"/>
    </row>
    <row r="27" spans="1:6" ht="21.75" customHeight="1">
      <c r="A27" s="86"/>
      <c r="B27" s="80"/>
      <c r="C27" s="92"/>
      <c r="D27" s="93"/>
      <c r="E27" s="80"/>
      <c r="F27" s="66"/>
    </row>
    <row r="28" spans="1:6" ht="21.75" customHeight="1">
      <c r="A28" s="86"/>
      <c r="B28" s="80"/>
      <c r="C28" s="92"/>
      <c r="D28" s="93"/>
      <c r="E28" s="80"/>
      <c r="F28" s="66"/>
    </row>
    <row r="29" spans="1:6" ht="21.75" customHeight="1">
      <c r="A29" s="19"/>
      <c r="B29" s="80"/>
      <c r="C29" s="92"/>
      <c r="D29" s="93"/>
      <c r="E29" s="80"/>
      <c r="F29" s="66"/>
    </row>
    <row r="30" spans="1:6" ht="21.75" customHeight="1">
      <c r="A30" s="86"/>
      <c r="B30" s="80"/>
      <c r="C30" s="92"/>
      <c r="D30" s="93"/>
      <c r="E30" s="80"/>
      <c r="F30" s="66"/>
    </row>
    <row r="31" spans="1:6" ht="21.75" customHeight="1">
      <c r="A31" s="86"/>
      <c r="B31" s="80"/>
      <c r="C31" s="81"/>
      <c r="D31" s="93"/>
      <c r="E31" s="80"/>
      <c r="F31" s="66"/>
    </row>
    <row r="32" spans="1:6" ht="21.75" customHeight="1">
      <c r="A32" s="86"/>
      <c r="B32" s="80"/>
      <c r="C32" s="81"/>
      <c r="D32" s="93"/>
      <c r="E32" s="80"/>
      <c r="F32" s="66"/>
    </row>
    <row r="33" ht="21.75" customHeight="1"/>
    <row r="34" ht="21.75" customHeight="1"/>
  </sheetData>
  <sheetProtection selectLockedCells="1" selectUnlockedCells="1"/>
  <mergeCells count="3">
    <mergeCell ref="A1:C1"/>
    <mergeCell ref="D1:F1"/>
    <mergeCell ref="A2:B2"/>
  </mergeCells>
  <printOptions/>
  <pageMargins left="0.6201388888888889" right="0.42986111111111114" top="0.9840277777777777" bottom="0.9840277777777777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10.28125" defaultRowHeight="12.75"/>
  <cols>
    <col min="1" max="1" width="5.7109375" style="0" customWidth="1"/>
    <col min="2" max="2" width="29.7109375" style="0" customWidth="1"/>
    <col min="3" max="3" width="8.7109375" style="0" customWidth="1"/>
    <col min="4" max="4" width="2.7109375" style="0" customWidth="1"/>
    <col min="5" max="5" width="5.7109375" style="0" customWidth="1"/>
    <col min="6" max="6" width="23.7109375" style="0" customWidth="1"/>
    <col min="7" max="7" width="12.421875" style="0" customWidth="1"/>
    <col min="8" max="16384" width="11.00390625" style="0" customWidth="1"/>
  </cols>
  <sheetData>
    <row r="1" spans="1:7" ht="24.75" customHeight="1">
      <c r="A1" s="77"/>
      <c r="B1" s="77"/>
      <c r="C1" s="77"/>
      <c r="D1" s="78"/>
      <c r="E1" s="77"/>
      <c r="F1" s="77"/>
      <c r="G1" s="77"/>
    </row>
    <row r="2" spans="1:7" ht="24.75" customHeight="1">
      <c r="A2" s="96"/>
      <c r="B2" s="97"/>
      <c r="C2" s="98"/>
      <c r="D2" s="99"/>
      <c r="E2" s="97"/>
      <c r="F2" s="97"/>
      <c r="G2" s="79"/>
    </row>
    <row r="3" spans="1:7" ht="19.5" customHeight="1">
      <c r="A3" s="100"/>
      <c r="B3" s="101"/>
      <c r="C3" s="102"/>
      <c r="D3" s="103"/>
      <c r="E3" s="104"/>
      <c r="F3" s="105"/>
      <c r="G3" s="106"/>
    </row>
    <row r="4" spans="1:7" ht="18" customHeight="1">
      <c r="A4" s="38"/>
      <c r="B4" s="107"/>
      <c r="C4" s="108"/>
      <c r="E4" s="19"/>
      <c r="F4" s="91"/>
      <c r="G4" s="92"/>
    </row>
    <row r="5" spans="1:7" ht="18" customHeight="1">
      <c r="A5" s="38"/>
      <c r="B5" s="107"/>
      <c r="C5" s="108"/>
      <c r="E5" s="19"/>
      <c r="F5" s="109"/>
      <c r="G5" s="81"/>
    </row>
    <row r="6" spans="1:7" ht="18" customHeight="1">
      <c r="A6" s="38"/>
      <c r="B6" s="107"/>
      <c r="C6" s="108"/>
      <c r="E6" s="86"/>
      <c r="F6" s="91"/>
      <c r="G6" s="81"/>
    </row>
    <row r="7" spans="1:7" ht="25.5" customHeight="1">
      <c r="A7" s="38"/>
      <c r="B7" s="107"/>
      <c r="C7" s="108"/>
      <c r="E7" s="86"/>
      <c r="F7" s="91"/>
      <c r="G7" s="87"/>
    </row>
    <row r="8" spans="1:7" ht="18.75" customHeight="1">
      <c r="A8" s="38"/>
      <c r="B8" s="107"/>
      <c r="C8" s="108"/>
      <c r="E8" s="86"/>
      <c r="F8" s="80"/>
      <c r="G8" s="81"/>
    </row>
    <row r="9" spans="1:7" ht="19.5" customHeight="1">
      <c r="A9" s="38"/>
      <c r="B9" s="107"/>
      <c r="C9" s="108"/>
      <c r="E9" s="86"/>
      <c r="F9" s="80"/>
      <c r="G9" s="81"/>
    </row>
    <row r="10" spans="1:7" ht="19.5" customHeight="1">
      <c r="A10" s="38"/>
      <c r="B10" s="110"/>
      <c r="C10" s="108"/>
      <c r="E10" s="86"/>
      <c r="F10" s="80"/>
      <c r="G10" s="81"/>
    </row>
    <row r="11" spans="1:7" ht="19.5" customHeight="1">
      <c r="A11" s="38"/>
      <c r="B11" s="107"/>
      <c r="C11" s="108"/>
      <c r="E11" s="19"/>
      <c r="F11" s="111"/>
      <c r="G11" s="81"/>
    </row>
    <row r="12" spans="1:7" ht="25.5" customHeight="1">
      <c r="A12" s="38"/>
      <c r="B12" s="112"/>
      <c r="C12" s="108"/>
      <c r="E12" s="19"/>
      <c r="F12" s="80"/>
      <c r="G12" s="95"/>
    </row>
    <row r="13" spans="1:7" ht="25.5" customHeight="1">
      <c r="A13" s="38"/>
      <c r="B13" s="107"/>
      <c r="C13" s="108"/>
      <c r="E13" s="19"/>
      <c r="F13" s="80"/>
      <c r="G13" s="90"/>
    </row>
    <row r="14" spans="1:7" ht="25.5" customHeight="1">
      <c r="A14" s="38"/>
      <c r="B14" s="107"/>
      <c r="C14" s="108"/>
      <c r="E14" s="19"/>
      <c r="F14" s="80"/>
      <c r="G14" s="87"/>
    </row>
    <row r="15" spans="1:7" ht="19.5" customHeight="1">
      <c r="A15" s="38"/>
      <c r="B15" s="107"/>
      <c r="C15" s="108"/>
      <c r="E15" s="86"/>
      <c r="F15" s="80"/>
      <c r="G15" s="92"/>
    </row>
    <row r="16" spans="1:7" ht="25.5" customHeight="1">
      <c r="A16" s="38"/>
      <c r="B16" s="107"/>
      <c r="C16" s="108"/>
      <c r="E16" s="86"/>
      <c r="F16" s="80"/>
      <c r="G16" s="81"/>
    </row>
    <row r="17" spans="1:7" ht="19.5" customHeight="1">
      <c r="A17" s="38"/>
      <c r="B17" s="107"/>
      <c r="C17" s="108"/>
      <c r="E17" s="86"/>
      <c r="F17" s="80"/>
      <c r="G17" s="81"/>
    </row>
    <row r="18" spans="1:7" ht="19.5" customHeight="1">
      <c r="A18" s="38"/>
      <c r="B18" s="107"/>
      <c r="C18" s="113"/>
      <c r="E18" s="19"/>
      <c r="F18" s="80"/>
      <c r="G18" s="81"/>
    </row>
    <row r="19" spans="1:7" ht="25.5" customHeight="1">
      <c r="A19" s="114"/>
      <c r="B19" s="107"/>
      <c r="C19" s="113"/>
      <c r="E19" s="19"/>
      <c r="F19" s="80"/>
      <c r="G19" s="92"/>
    </row>
    <row r="20" spans="1:7" ht="25.5" customHeight="1">
      <c r="A20" s="114"/>
      <c r="B20" s="115"/>
      <c r="C20" s="113"/>
      <c r="E20" s="19"/>
      <c r="F20" s="37"/>
      <c r="G20" s="81"/>
    </row>
    <row r="21" spans="1:7" ht="19.5" customHeight="1">
      <c r="A21" s="38"/>
      <c r="B21" s="116"/>
      <c r="C21" s="113"/>
      <c r="E21" s="19"/>
      <c r="F21" s="80"/>
      <c r="G21" s="81"/>
    </row>
    <row r="22" spans="1:7" ht="19.5" customHeight="1">
      <c r="A22" s="38"/>
      <c r="B22" s="116"/>
      <c r="C22" s="113"/>
      <c r="E22" s="19"/>
      <c r="F22" s="80"/>
      <c r="G22" s="90"/>
    </row>
    <row r="23" spans="1:7" ht="25.5" customHeight="1">
      <c r="A23" s="38"/>
      <c r="B23" s="116"/>
      <c r="C23" s="113"/>
      <c r="E23" s="19"/>
      <c r="F23" s="80"/>
      <c r="G23" s="81"/>
    </row>
    <row r="24" spans="1:7" ht="19.5" customHeight="1">
      <c r="A24" s="117"/>
      <c r="B24" s="118"/>
      <c r="C24" s="119"/>
      <c r="D24" s="120"/>
      <c r="E24" s="121"/>
      <c r="F24" s="122"/>
      <c r="G24" s="81"/>
    </row>
    <row r="25" spans="1:7" ht="18" customHeight="1">
      <c r="A25" s="123"/>
      <c r="B25" s="124"/>
      <c r="C25" s="125"/>
      <c r="D25" s="120"/>
      <c r="E25" s="121"/>
      <c r="F25" s="126"/>
      <c r="G25" s="127"/>
    </row>
    <row r="26" spans="1:7" ht="19.5" customHeight="1">
      <c r="A26" s="128"/>
      <c r="B26" s="129"/>
      <c r="C26" s="130"/>
      <c r="E26" s="131"/>
      <c r="F26" s="132"/>
      <c r="G26" s="133"/>
    </row>
    <row r="27" spans="1:7" ht="19.5" customHeight="1">
      <c r="A27" s="19"/>
      <c r="B27" s="10"/>
      <c r="C27" s="134"/>
      <c r="D27" s="135"/>
      <c r="E27" s="19"/>
      <c r="F27" s="80"/>
      <c r="G27" s="81"/>
    </row>
    <row r="28" spans="1:7" ht="19.5" customHeight="1">
      <c r="A28" s="19"/>
      <c r="B28" s="109"/>
      <c r="C28" s="81"/>
      <c r="D28" s="136"/>
      <c r="E28" s="19"/>
      <c r="F28" s="80"/>
      <c r="G28" s="81"/>
    </row>
    <row r="29" spans="1:7" ht="19.5" customHeight="1">
      <c r="A29" s="19"/>
      <c r="B29" s="109"/>
      <c r="C29" s="92"/>
      <c r="D29" s="136"/>
      <c r="E29" s="137"/>
      <c r="F29" s="109"/>
      <c r="G29" s="90"/>
    </row>
    <row r="30" spans="1:7" ht="19.5" customHeight="1">
      <c r="A30" s="19"/>
      <c r="B30" s="109"/>
      <c r="C30" s="92"/>
      <c r="D30" s="136"/>
      <c r="E30" s="138"/>
      <c r="F30" s="139"/>
      <c r="G30" s="90"/>
    </row>
    <row r="31" spans="1:7" ht="19.5" customHeight="1">
      <c r="A31" s="19"/>
      <c r="B31" s="109"/>
      <c r="C31" s="81"/>
      <c r="D31" s="136"/>
      <c r="E31" s="19"/>
      <c r="F31" s="80"/>
      <c r="G31" s="81"/>
    </row>
    <row r="32" spans="1:7" ht="19.5" customHeight="1">
      <c r="A32" s="19"/>
      <c r="B32" s="109"/>
      <c r="C32" s="81"/>
      <c r="D32" s="136"/>
      <c r="E32" s="93"/>
      <c r="F32" s="80"/>
      <c r="G32" s="81"/>
    </row>
    <row r="33" spans="1:7" ht="19.5" customHeight="1">
      <c r="A33" s="93"/>
      <c r="B33" s="109"/>
      <c r="C33" s="66"/>
      <c r="D33" s="136"/>
      <c r="E33" s="93"/>
      <c r="F33" s="80"/>
      <c r="G33" s="81"/>
    </row>
    <row r="34" spans="1:7" ht="19.5" customHeight="1">
      <c r="A34" s="93"/>
      <c r="B34" s="109"/>
      <c r="C34" s="66"/>
      <c r="D34" s="136"/>
      <c r="E34" s="93"/>
      <c r="F34" s="80"/>
      <c r="G34" s="81"/>
    </row>
    <row r="35" spans="1:7" ht="60" customHeight="1">
      <c r="A35" s="140"/>
      <c r="B35" s="141"/>
      <c r="C35" s="142"/>
      <c r="D35" s="143"/>
      <c r="E35" s="140"/>
      <c r="F35" s="144"/>
      <c r="G35" s="145"/>
    </row>
    <row r="36" ht="19.5" customHeight="1"/>
  </sheetData>
  <sheetProtection selectLockedCells="1" selectUnlockedCells="1"/>
  <mergeCells count="3">
    <mergeCell ref="A1:C1"/>
    <mergeCell ref="E1:G1"/>
    <mergeCell ref="E2:F2"/>
  </mergeCells>
  <printOptions/>
  <pageMargins left="4.527777777777778" right="0.19652777777777777" top="3.897916666666666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2013-01-02T10:17:19Z</cp:lastPrinted>
  <dcterms:created xsi:type="dcterms:W3CDTF">2004-02-22T08:29:06Z</dcterms:created>
  <dcterms:modified xsi:type="dcterms:W3CDTF">2019-11-19T09:17:29Z</dcterms:modified>
  <cp:category/>
  <cp:version/>
  <cp:contentType/>
  <cp:contentStatus/>
  <cp:revision>2</cp:revision>
</cp:coreProperties>
</file>